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Rekapitulace" sheetId="5" r:id="rId1"/>
    <sheet name="BOURACÍ PRÁCE" sheetId="6" r:id="rId2"/>
  </sheets>
  <externalReferences>
    <externalReference r:id="rId3"/>
    <externalReference r:id="rId4"/>
    <externalReference r:id="rId5"/>
    <externalReference r:id="rId6"/>
  </externalReferences>
  <definedNames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 localSheetId="0">#REF!</definedName>
    <definedName name="__obl13" localSheetId="0">#REF!</definedName>
    <definedName name="__obl14" localSheetId="0">#REF!</definedName>
    <definedName name="__obl15" localSheetId="0">#REF!</definedName>
    <definedName name="__obl16" localSheetId="0">#REF!</definedName>
    <definedName name="__obl17" localSheetId="0">#REF!</definedName>
    <definedName name="__obl1710" localSheetId="0">#REF!</definedName>
    <definedName name="__obl1711" localSheetId="0">#REF!</definedName>
    <definedName name="__obl1712" localSheetId="0">#REF!</definedName>
    <definedName name="__obl1713" localSheetId="0">#REF!</definedName>
    <definedName name="__obl1714" localSheetId="0">#REF!</definedName>
    <definedName name="__obl1715" localSheetId="0">#REF!</definedName>
    <definedName name="__obl1716" localSheetId="0">#REF!</definedName>
    <definedName name="__obl1717" localSheetId="0">#REF!</definedName>
    <definedName name="__obl1718" localSheetId="0">#REF!</definedName>
    <definedName name="__obl1719" localSheetId="0">#REF!</definedName>
    <definedName name="__obl173" localSheetId="0">#REF!</definedName>
    <definedName name="__obl174" localSheetId="0">#REF!</definedName>
    <definedName name="__obl175" localSheetId="0">#REF!</definedName>
    <definedName name="__obl176" localSheetId="0">#REF!</definedName>
    <definedName name="__obl177" localSheetId="0">#REF!</definedName>
    <definedName name="__obl178" localSheetId="0">#REF!</definedName>
    <definedName name="__obl179" localSheetId="0">#REF!</definedName>
    <definedName name="__obl18" localSheetId="0">#REF!</definedName>
    <definedName name="__obl181" localSheetId="0">#REF!</definedName>
    <definedName name="__obl1816" localSheetId="0">#REF!</definedName>
    <definedName name="__obl1820" localSheetId="0">#REF!</definedName>
    <definedName name="__obl1821" localSheetId="0">#REF!</definedName>
    <definedName name="__obl1822" localSheetId="0">#REF!</definedName>
    <definedName name="__obl1823" localSheetId="0">#REF!</definedName>
    <definedName name="__obl1824" localSheetId="0">#REF!</definedName>
    <definedName name="__obl1825" localSheetId="0">#REF!</definedName>
    <definedName name="__obl1826" localSheetId="0">#REF!</definedName>
    <definedName name="__obl1827" localSheetId="0">#REF!</definedName>
    <definedName name="__obl1828" localSheetId="0">#REF!</definedName>
    <definedName name="__obl1829" localSheetId="0">#REF!</definedName>
    <definedName name="__obl183" localSheetId="0">#REF!</definedName>
    <definedName name="__obl1831" localSheetId="0">#REF!</definedName>
    <definedName name="__obl1832" localSheetId="0">#REF!</definedName>
    <definedName name="__obl184" localSheetId="0">#REF!</definedName>
    <definedName name="__obl185" localSheetId="0">#REF!</definedName>
    <definedName name="__obl186" localSheetId="0">#REF!</definedName>
    <definedName name="__obl187" localSheetId="0">#REF!</definedName>
    <definedName name="_obl11" localSheetId="1">#REF!</definedName>
    <definedName name="_obl12" localSheetId="1">#REF!</definedName>
    <definedName name="_obl13" localSheetId="1">#REF!</definedName>
    <definedName name="_obl14" localSheetId="1">#REF!</definedName>
    <definedName name="_obl15" localSheetId="1">#REF!</definedName>
    <definedName name="_obl16" localSheetId="1">#REF!</definedName>
    <definedName name="_obl17" localSheetId="1">#REF!</definedName>
    <definedName name="_obl1710" localSheetId="1">#REF!</definedName>
    <definedName name="_obl1711" localSheetId="1">#REF!</definedName>
    <definedName name="_obl1712" localSheetId="1">#REF!</definedName>
    <definedName name="_obl1713" localSheetId="1">#REF!</definedName>
    <definedName name="_obl1714" localSheetId="1">#REF!</definedName>
    <definedName name="_obl1715" localSheetId="1">#REF!</definedName>
    <definedName name="_obl1716" localSheetId="1">#REF!</definedName>
    <definedName name="_obl1717" localSheetId="1">#REF!</definedName>
    <definedName name="_obl1718" localSheetId="1">#REF!</definedName>
    <definedName name="_obl1719" localSheetId="1">#REF!</definedName>
    <definedName name="_obl173" localSheetId="1">#REF!</definedName>
    <definedName name="_obl174" localSheetId="1">#REF!</definedName>
    <definedName name="_obl175" localSheetId="1">#REF!</definedName>
    <definedName name="_obl176" localSheetId="1">#REF!</definedName>
    <definedName name="_obl177" localSheetId="1">#REF!</definedName>
    <definedName name="_obl178" localSheetId="1">#REF!</definedName>
    <definedName name="_obl179" localSheetId="1">#REF!</definedName>
    <definedName name="_obl18" localSheetId="1">#REF!</definedName>
    <definedName name="_obl181" localSheetId="1">#REF!</definedName>
    <definedName name="_obl1816" localSheetId="1">#REF!</definedName>
    <definedName name="_obl1820" localSheetId="1">#REF!</definedName>
    <definedName name="_obl1821" localSheetId="1">#REF!</definedName>
    <definedName name="_obl1822" localSheetId="1">#REF!</definedName>
    <definedName name="_obl1823" localSheetId="1">#REF!</definedName>
    <definedName name="_obl1824" localSheetId="1">#REF!</definedName>
    <definedName name="_obl1825" localSheetId="1">#REF!</definedName>
    <definedName name="_obl1826" localSheetId="1">#REF!</definedName>
    <definedName name="_obl1827" localSheetId="1">#REF!</definedName>
    <definedName name="_obl1828" localSheetId="1">#REF!</definedName>
    <definedName name="_obl1829" localSheetId="1">#REF!</definedName>
    <definedName name="_obl183" localSheetId="1">#REF!</definedName>
    <definedName name="_obl1831" localSheetId="1">#REF!</definedName>
    <definedName name="_obl1832" localSheetId="1">#REF!</definedName>
    <definedName name="_obl184" localSheetId="1">#REF!</definedName>
    <definedName name="_obl185" localSheetId="1">#REF!</definedName>
    <definedName name="_obl186" localSheetId="1">#REF!</definedName>
    <definedName name="_obl187" localSheetId="1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>#REF!</definedName>
    <definedName name="HSV">#REF!</definedName>
    <definedName name="HSV0" localSheetId="1">#REF!</definedName>
    <definedName name="HSV0" localSheetId="0">#REF!</definedName>
    <definedName name="HSV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>#REF!</definedName>
    <definedName name="jzzuggt">#REF!</definedName>
    <definedName name="Last_Row" localSheetId="1">IF('BOURACÍ PRÁCE'!Values_Entered,'BOURACÍ PRÁCE'!Header_Row+'BOURACÍ PRÁCE'!Number_of_Payments,'BOURACÍ PRÁCE'!Header_Row)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MATCH(0.01,'BOURACÍ PRÁCE'!End_Bal,-1)+1</definedName>
    <definedName name="Number_of_Payments" localSheetId="0">MATCH(0.01,Rekapitulace!End_Bal,-1)+1</definedName>
    <definedName name="Number_of_Payments">MATCH(0.01,End_Bal,-1)+1</definedName>
    <definedName name="obch_sleva">#REF!</definedName>
    <definedName name="Objednatel">#REF!</definedName>
    <definedName name="_xlnm.Print_Area" localSheetId="1">'BOURACÍ PRÁCE'!#REF!</definedName>
    <definedName name="_xlnm.Print_Area" localSheetId="0">Rekapitulace!$A$1:$C$20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DATE(YEAR('BOURACÍ PRÁCE'!Loan_Start),MONTH('BOURACÍ PRÁCE'!Loan_Start)+Payment_Number,DAY('BOURACÍ PRÁCE'!Loan_Start))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OFFSET('BOURACÍ PRÁCE'!Full_Print,0,0,'BOURACÍ PRÁCE'!Last_Row)</definedName>
    <definedName name="Print_Area_Reset" localSheetId="0">OFFSET(Rekapitulace!Full_Print,0,0,Rekapitulace!Last_Row)</definedName>
    <definedName name="Print_Area_Reset">OFFSET(Full_Print,0,0,Last_Row)</definedName>
    <definedName name="Projektant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IF('BOURACÍ PRÁCE'!Loan_Amount*'BOURACÍ PRÁCE'!Interest_Rate*'BOURACÍ PRÁCE'!Loan_Years*'BOURACÍ PRÁCE'!Loan_Start&gt;0,1,0)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5" i="6" l="1"/>
  <c r="F106" i="6"/>
  <c r="F105" i="6"/>
  <c r="F102" i="6"/>
  <c r="F142" i="6"/>
  <c r="F141" i="6"/>
  <c r="F59" i="6"/>
  <c r="F58" i="6"/>
  <c r="F184" i="6"/>
  <c r="F78" i="6"/>
  <c r="H78" i="6" s="1"/>
  <c r="F140" i="6" l="1"/>
  <c r="H140" i="6" s="1"/>
  <c r="F31" i="6" l="1"/>
  <c r="F29" i="6" s="1"/>
  <c r="H29" i="6" s="1"/>
  <c r="F23" i="6"/>
  <c r="F27" i="6"/>
  <c r="F19" i="6"/>
  <c r="F25" i="6" l="1"/>
  <c r="H25" i="6" s="1"/>
  <c r="F21" i="6"/>
  <c r="H21" i="6" s="1"/>
  <c r="F17" i="6"/>
  <c r="H17" i="6" s="1"/>
  <c r="F14" i="6" l="1"/>
  <c r="H14" i="6" s="1"/>
  <c r="F195" i="6" l="1"/>
  <c r="F200" i="6"/>
  <c r="F199" i="6"/>
  <c r="F198" i="6"/>
  <c r="F194" i="6"/>
  <c r="F196" i="6" l="1"/>
  <c r="H196" i="6" s="1"/>
  <c r="F192" i="6"/>
  <c r="H192" i="6" s="1"/>
  <c r="F239" i="6"/>
  <c r="F238" i="6" s="1"/>
  <c r="F240" i="6" s="1"/>
  <c r="H240" i="6" s="1"/>
  <c r="F232" i="6"/>
  <c r="F235" i="6" s="1"/>
  <c r="H235" i="6" s="1"/>
  <c r="F228" i="6"/>
  <c r="H228" i="6" s="1"/>
  <c r="F34" i="6"/>
  <c r="H34" i="6" s="1"/>
  <c r="F329" i="6"/>
  <c r="H329" i="6" s="1"/>
  <c r="F224" i="6" l="1"/>
  <c r="F227" i="6" s="1"/>
  <c r="F229" i="6" s="1"/>
  <c r="H229" i="6" s="1"/>
  <c r="F231" i="6"/>
  <c r="F236" i="6" s="1"/>
  <c r="H236" i="6" s="1"/>
  <c r="F226" i="6"/>
  <c r="H226" i="6" s="1"/>
  <c r="G224" i="6" s="1"/>
  <c r="F233" i="6"/>
  <c r="H233" i="6" s="1"/>
  <c r="H227" i="6"/>
  <c r="F242" i="6"/>
  <c r="H242" i="6" s="1"/>
  <c r="F241" i="6"/>
  <c r="H241" i="6" s="1"/>
  <c r="F243" i="6"/>
  <c r="H243" i="6" s="1"/>
  <c r="H224" i="6" l="1"/>
  <c r="F234" i="6"/>
  <c r="H234" i="6" s="1"/>
  <c r="G231" i="6" s="1"/>
  <c r="H231" i="6" s="1"/>
  <c r="G238" i="6"/>
  <c r="H238" i="6" s="1"/>
  <c r="F351" i="6" l="1"/>
  <c r="H351" i="6" s="1"/>
  <c r="F348" i="6"/>
  <c r="H348" i="6" s="1"/>
  <c r="F344" i="6"/>
  <c r="H344" i="6" s="1"/>
  <c r="F343" i="6"/>
  <c r="F342" i="6"/>
  <c r="F337" i="6"/>
  <c r="H337" i="6" s="1"/>
  <c r="F333" i="6"/>
  <c r="H333" i="6" s="1"/>
  <c r="F322" i="6"/>
  <c r="H322" i="6" s="1"/>
  <c r="F321" i="6"/>
  <c r="F320" i="6"/>
  <c r="F319" i="6"/>
  <c r="F318" i="6"/>
  <c r="F317" i="6"/>
  <c r="F313" i="6"/>
  <c r="F312" i="6"/>
  <c r="F311" i="6"/>
  <c r="F310" i="6"/>
  <c r="F309" i="6"/>
  <c r="F308" i="6"/>
  <c r="F305" i="6"/>
  <c r="F304" i="6"/>
  <c r="F300" i="6"/>
  <c r="H300" i="6" s="1"/>
  <c r="F296" i="6"/>
  <c r="H296" i="6" s="1"/>
  <c r="F290" i="6"/>
  <c r="H290" i="6" s="1"/>
  <c r="F287" i="6"/>
  <c r="H287" i="6" s="1"/>
  <c r="F285" i="6"/>
  <c r="F277" i="6" s="1"/>
  <c r="H277" i="6" s="1"/>
  <c r="F271" i="6"/>
  <c r="H271" i="6" s="1"/>
  <c r="F268" i="6"/>
  <c r="F260" i="6" s="1"/>
  <c r="H260" i="6" s="1"/>
  <c r="F251" i="6"/>
  <c r="H251" i="6" s="1"/>
  <c r="H250" i="6" s="1"/>
  <c r="F247" i="6"/>
  <c r="H247" i="6" s="1"/>
  <c r="H246" i="6"/>
  <c r="F223" i="6"/>
  <c r="F222" i="6"/>
  <c r="F221" i="6"/>
  <c r="F220" i="6"/>
  <c r="F219" i="6"/>
  <c r="F218" i="6"/>
  <c r="F216" i="6"/>
  <c r="F215" i="6"/>
  <c r="F214" i="6"/>
  <c r="F213" i="6"/>
  <c r="F212" i="6"/>
  <c r="F211" i="6"/>
  <c r="F208" i="6"/>
  <c r="F207" i="6"/>
  <c r="F206" i="6"/>
  <c r="F205" i="6"/>
  <c r="F204" i="6"/>
  <c r="F203" i="6"/>
  <c r="F191" i="6"/>
  <c r="F190" i="6" s="1"/>
  <c r="H190" i="6" s="1"/>
  <c r="F189" i="6"/>
  <c r="F188" i="6" s="1"/>
  <c r="H188" i="6" s="1"/>
  <c r="F186" i="6"/>
  <c r="H186" i="6" s="1"/>
  <c r="F185" i="6"/>
  <c r="F183" i="6"/>
  <c r="F181" i="6"/>
  <c r="F179" i="6" s="1"/>
  <c r="H179" i="6" s="1"/>
  <c r="F178" i="6"/>
  <c r="F176" i="6" s="1"/>
  <c r="H176" i="6" s="1"/>
  <c r="F175" i="6"/>
  <c r="F173" i="6"/>
  <c r="F172" i="6"/>
  <c r="F171" i="6"/>
  <c r="F170" i="6"/>
  <c r="F167" i="6"/>
  <c r="F166" i="6"/>
  <c r="F165" i="6"/>
  <c r="F164" i="6"/>
  <c r="F161" i="6"/>
  <c r="F160" i="6"/>
  <c r="F159" i="6"/>
  <c r="F158" i="6"/>
  <c r="F155" i="6"/>
  <c r="F154" i="6"/>
  <c r="F153" i="6"/>
  <c r="F152" i="6"/>
  <c r="F151" i="6"/>
  <c r="F150" i="6"/>
  <c r="F147" i="6"/>
  <c r="F145" i="6"/>
  <c r="F139" i="6"/>
  <c r="F138" i="6"/>
  <c r="F137" i="6"/>
  <c r="F136" i="6"/>
  <c r="F133" i="6"/>
  <c r="F132" i="6" s="1"/>
  <c r="H132" i="6" s="1"/>
  <c r="F131" i="6"/>
  <c r="F130" i="6" s="1"/>
  <c r="H130" i="6" s="1"/>
  <c r="F127" i="6"/>
  <c r="F125" i="6" s="1"/>
  <c r="H125" i="6" s="1"/>
  <c r="F120" i="6"/>
  <c r="F119" i="6"/>
  <c r="F118" i="6"/>
  <c r="F117" i="6"/>
  <c r="F116" i="6"/>
  <c r="F115" i="6"/>
  <c r="F114" i="6"/>
  <c r="F109" i="6"/>
  <c r="F107" i="6" s="1"/>
  <c r="H107" i="6" s="1"/>
  <c r="F104" i="6"/>
  <c r="F103" i="6"/>
  <c r="F101" i="6"/>
  <c r="F100" i="6"/>
  <c r="F99" i="6"/>
  <c r="F98" i="6"/>
  <c r="F97" i="6"/>
  <c r="F96" i="6"/>
  <c r="F94" i="6"/>
  <c r="F93" i="6"/>
  <c r="F92" i="6"/>
  <c r="F91" i="6"/>
  <c r="F90" i="6"/>
  <c r="F89" i="6"/>
  <c r="F83" i="6"/>
  <c r="H83" i="6" s="1"/>
  <c r="F74" i="6"/>
  <c r="H74" i="6" s="1"/>
  <c r="F73" i="6"/>
  <c r="F72" i="6"/>
  <c r="F71" i="6"/>
  <c r="F69" i="6"/>
  <c r="F68" i="6"/>
  <c r="F67" i="6"/>
  <c r="F65" i="6"/>
  <c r="F64" i="6"/>
  <c r="F62" i="6"/>
  <c r="F61" i="6"/>
  <c r="F60" i="6"/>
  <c r="F57" i="6"/>
  <c r="F54" i="6"/>
  <c r="F53" i="6"/>
  <c r="F52" i="6"/>
  <c r="F51" i="6"/>
  <c r="F50" i="6"/>
  <c r="F49" i="6"/>
  <c r="F45" i="6"/>
  <c r="F44" i="6"/>
  <c r="F43" i="6"/>
  <c r="F42" i="6"/>
  <c r="F41" i="6"/>
  <c r="F40" i="6"/>
  <c r="F11" i="6"/>
  <c r="H11" i="6" s="1"/>
  <c r="H10" i="6" s="1"/>
  <c r="F341" i="6" l="1"/>
  <c r="H341" i="6" s="1"/>
  <c r="F38" i="6"/>
  <c r="H38" i="6" s="1"/>
  <c r="F56" i="6"/>
  <c r="H56" i="6" s="1"/>
  <c r="F66" i="6"/>
  <c r="H66" i="6" s="1"/>
  <c r="H347" i="6"/>
  <c r="C19" i="5" s="1"/>
  <c r="C10" i="5"/>
  <c r="F182" i="6"/>
  <c r="H182" i="6" s="1"/>
  <c r="H245" i="6"/>
  <c r="C12" i="5" s="1"/>
  <c r="F307" i="6"/>
  <c r="H307" i="6" s="1"/>
  <c r="F168" i="6"/>
  <c r="H168" i="6" s="1"/>
  <c r="F303" i="6"/>
  <c r="H303" i="6" s="1"/>
  <c r="H340" i="6"/>
  <c r="C18" i="5" s="1"/>
  <c r="F70" i="6"/>
  <c r="H70" i="6" s="1"/>
  <c r="F95" i="6"/>
  <c r="H95" i="6" s="1"/>
  <c r="F134" i="6"/>
  <c r="H134" i="6" s="1"/>
  <c r="F143" i="6"/>
  <c r="H143" i="6" s="1"/>
  <c r="F156" i="6"/>
  <c r="H156" i="6" s="1"/>
  <c r="F162" i="6"/>
  <c r="H162" i="6" s="1"/>
  <c r="F201" i="6"/>
  <c r="H201" i="6" s="1"/>
  <c r="F217" i="6"/>
  <c r="H217" i="6" s="1"/>
  <c r="F87" i="6"/>
  <c r="H87" i="6" s="1"/>
  <c r="F209" i="6"/>
  <c r="H209" i="6" s="1"/>
  <c r="F112" i="6"/>
  <c r="H112" i="6" s="1"/>
  <c r="F148" i="6"/>
  <c r="H148" i="6" s="1"/>
  <c r="F47" i="6"/>
  <c r="H47" i="6" s="1"/>
  <c r="F63" i="6"/>
  <c r="H63" i="6" s="1"/>
  <c r="H102" i="6"/>
  <c r="F315" i="6"/>
  <c r="H315" i="6" s="1"/>
  <c r="H332" i="6"/>
  <c r="C17" i="5" s="1"/>
  <c r="H259" i="6"/>
  <c r="C15" i="5" s="1"/>
  <c r="C14" i="5"/>
  <c r="H33" i="6" l="1"/>
  <c r="C11" i="5" s="1"/>
  <c r="C9" i="5" s="1"/>
  <c r="H299" i="6"/>
  <c r="C16" i="5" s="1"/>
  <c r="C13" i="5" s="1"/>
  <c r="H249" i="6" l="1"/>
  <c r="H9" i="6"/>
  <c r="C20" i="5"/>
  <c r="H354" i="6" l="1"/>
  <c r="H356" i="6" s="1"/>
</calcChain>
</file>

<file path=xl/sharedStrings.xml><?xml version="1.0" encoding="utf-8"?>
<sst xmlns="http://schemas.openxmlformats.org/spreadsheetml/2006/main" count="646" uniqueCount="379">
  <si>
    <t>REKAPITULACE</t>
  </si>
  <si>
    <t>Stavba:   MU - stavební úpravy v objektu PdF, Poříčí 31 - projektant</t>
  </si>
  <si>
    <t xml:space="preserve">JKSO:     801.35; 927; 928 </t>
  </si>
  <si>
    <t>Kód</t>
  </si>
  <si>
    <t>Popis</t>
  </si>
  <si>
    <r>
      <t xml:space="preserve">Cena celkem                   </t>
    </r>
    <r>
      <rPr>
        <sz val="8"/>
        <rFont val="Arial CE"/>
        <family val="2"/>
        <charset val="238"/>
      </rPr>
      <t xml:space="preserve">                                     </t>
    </r>
  </si>
  <si>
    <t>HSV</t>
  </si>
  <si>
    <t>Práce a dodávky HSV</t>
  </si>
  <si>
    <t>Úpravy povrchu, podlahy, osazení</t>
  </si>
  <si>
    <t>Ostatní konstrukce a práce-bourání</t>
  </si>
  <si>
    <t>Přesun hmot</t>
  </si>
  <si>
    <t>PSV</t>
  </si>
  <si>
    <t>Práce a dodávky PSV</t>
  </si>
  <si>
    <t>Zdravotechnika - Zařizovací předměty</t>
  </si>
  <si>
    <t>Konstrukce truhlářské</t>
  </si>
  <si>
    <t>Zasklívání</t>
  </si>
  <si>
    <t>Ostatní práce a dodávky</t>
  </si>
  <si>
    <t>D.1.1. ASŘ - BOURACÍ PRÁCE - CELKEM</t>
  </si>
  <si>
    <t>Část:   D.1.1. ASŘ - BOURACÍ PRÁCE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</si>
  <si>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</si>
  <si>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</si>
  <si>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</si>
  <si>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</si>
  <si>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</si>
  <si>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</si>
  <si>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</si>
  <si>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</si>
  <si>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</si>
  <si>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</si>
  <si>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</si>
  <si>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</si>
  <si>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</si>
  <si>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</si>
  <si>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</si>
  <si>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011</t>
  </si>
  <si>
    <t>Obalení konstrukcí a prvků fólií přilepenou lepící páskou</t>
  </si>
  <si>
    <t>m2</t>
  </si>
  <si>
    <t>CS ÚRS 2020 01</t>
  </si>
  <si>
    <t>" V ceně také odstranění ochrany. "</t>
  </si>
  <si>
    <t>9</t>
  </si>
  <si>
    <t>Ostatní konstrukce a práce - bourání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</si>
  <si>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</si>
  <si>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</si>
  <si>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</si>
  <si>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Vyčištění budov bytové a občanské výstavby při výšce podlaží do 4 m</t>
  </si>
  <si>
    <t>013</t>
  </si>
  <si>
    <t>Bourání příček z cihel pálených na MVC tl do 150 mm</t>
  </si>
  <si>
    <t>Bourání příček ze skleněných tvárnic tl do 150 mm</t>
  </si>
  <si>
    <t>964999101 SPC</t>
  </si>
  <si>
    <t>Odstranění veškerých podkladních vrstev skladby podlahy včetně příslušenství - Specifikace dle PD</t>
  </si>
  <si>
    <t xml:space="preserve">CS ÚRS/TEO 2020 01 </t>
  </si>
  <si>
    <t>968082991 SPC</t>
  </si>
  <si>
    <t>Vybourání plastových / dřevěných / kovových rámů oken včetně křídel - Specifikace dle PD</t>
  </si>
  <si>
    <t>" Okna "</t>
  </si>
  <si>
    <t>" V položce zahrnuto vyvěšení okenních křídel, demontáž vnitřního a vnějšího parapetu, vybourání rámu oken, demontáž žaluzíí, sítí proti hmyzu apod. V ceně také nutné přisekání / řezání ostění a odstranění potěrů pod parapety "</t>
  </si>
  <si>
    <t>968082992 SPC</t>
  </si>
  <si>
    <t xml:space="preserve">" Dveře " </t>
  </si>
  <si>
    <t>" V položce zahrnuto vyvěšení dřevěných nebo kovových (popř. plastových) dveřních křídel, odstranění prahů, vybourání kovových / dřevěných zárubní vč, světlíkových částí a mříží. V ceně nutné přisekání ostění a nutné odstranění prvků na dveřních křídlech - samozavíračů, okopného plechu, stavěče, apod. "</t>
  </si>
  <si>
    <t>" V položce zahruto také odstranění posuvných dveří vč. odstranění veškerého příslušenství - pouzdra, kolejnic, atd. "</t>
  </si>
  <si>
    <t>968082993 SPC</t>
  </si>
  <si>
    <t>kus</t>
  </si>
  <si>
    <t>Vysekání rýh ve zdivu cihelném hl do 50 mm š do 150 mm</t>
  </si>
  <si>
    <t>m</t>
  </si>
  <si>
    <t>Otlučení (osekání) vnitřní vápenné nebo vápenocementové omítky stropů v rozsahu do 50 %</t>
  </si>
  <si>
    <t>Otlučení (osekání) vnitřní vápenné nebo vápenocementové omítky stěn v rozsahu do 50 %</t>
  </si>
  <si>
    <t>Odsekání a odebrání obkladů stěn z vnitřních obkládaček plochy přes 1 m2</t>
  </si>
  <si>
    <t>997</t>
  </si>
  <si>
    <t>997999901 SPC</t>
  </si>
  <si>
    <t>t</t>
  </si>
  <si>
    <t>" - Odvoz suti a vybouraných hmot na skládku nebo meziskládku do 1 km se složením "</t>
  </si>
  <si>
    <t>" - Příplatek k odvozu suti a vybouraných hmot na skládku ZKD 1 km přes 1 km - uvažována skládka ve vzdálenosti do 10 km "</t>
  </si>
  <si>
    <t>" - Poplatek za uložení na skládce (skládkovné) stavebního odpadu směsného kód odpadu 17 09 04 "</t>
  </si>
  <si>
    <t>997999902 SPC</t>
  </si>
  <si>
    <t>Náklady spojené s odvozem a uložením suti - sklo</t>
  </si>
  <si>
    <t>" - Poplatek za uložení na skládce (skládkovné) stavebního odpadu ze skla kód odpadu 17 02 02 "</t>
  </si>
  <si>
    <t>99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</si>
  <si>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</si>
  <si>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</si>
  <si>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</si>
  <si>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</si>
  <si>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</si>
  <si>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</si>
  <si>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725</t>
  </si>
  <si>
    <t>721</t>
  </si>
  <si>
    <t>" Demontáž včetně výtokových armatur, baterií, sifonu, rohových ventilů, konzol, připojovacího potrubí, tvarovek, armatur a veškerého příslušenství. Cena včetně zaslepení stávajícího potrubí a zapravení povrchových úprav. "</t>
  </si>
  <si>
    <t>HZS2492</t>
  </si>
  <si>
    <t>Hodinová zúčtovací sazba pomocný dělník PSV</t>
  </si>
  <si>
    <t>" Stavební práce a dodávky spojené s provedením funkčního celku 725 "</t>
  </si>
  <si>
    <t xml:space="preserve">" Ostatní náklady na demontáž, odstranění apod. mj.s vazbou na stávající okolní konstrukce " </t>
  </si>
  <si>
    <t>766825901 SPC</t>
  </si>
  <si>
    <t>CS ÚRS/TEO 2020 01</t>
  </si>
  <si>
    <t>" V ceně také přesun a likvidace suti "</t>
  </si>
  <si>
    <t>" Stavební práce a dodávky spojené s provedením funkčního celku 766 "</t>
  </si>
  <si>
    <t>790999101 SPC</t>
  </si>
  <si>
    <t>Odstranění vnitřního vybavení a technologie výše nespecifikovaného - Specifikace dle PD</t>
  </si>
  <si>
    <t>" Stavební práce a dodávky spojené s provedením funkčního celku 790 "</t>
  </si>
  <si>
    <t>Celkem</t>
  </si>
  <si>
    <t>CELKEM</t>
  </si>
  <si>
    <t>03 - D.1.1. ASŘ - BOURACÍ PRÁCE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</si>
  <si>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</si>
  <si>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</si>
  <si>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</si>
  <si>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</si>
  <si>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</si>
  <si>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Objekt:   02 - Rekonstrukce hygienického zařízení 1. PP - 5. NP</t>
  </si>
  <si>
    <t>Zdravotechnika - Vnitřní kanalizace</t>
  </si>
  <si>
    <t>Konstrukce suché výstavby</t>
  </si>
  <si>
    <t>" Ochrana oken a dveří před poškozením - odhadované množství 90 m2 " 90</t>
  </si>
  <si>
    <t>" Pomocné lešení pro objekty při bouracích pracích - 1 PP - 5. NP "</t>
  </si>
  <si>
    <t>" Pomocné lešení - 1. PP - místnosti -1012, -1013, -1015, -1016 " 3,1+3,04+3,9+1,89</t>
  </si>
  <si>
    <t>" Pomocné lešení - 1. NP - místnosti 1005 - 1008c " 4,5+3,15+5,06+15,53+6,88+4,45+1,51+4,11</t>
  </si>
  <si>
    <t>" Pomocné lešení - 2. NP - místnosti 2013, 2015 - 2017a, 2046 - 2047 " 15,55+4,00+1,61+4,45+6,88+4,17+3,02+4,87</t>
  </si>
  <si>
    <t>" Pomocné lešení - 3. NP - místnosti 3004 - 3007a, 3026 - 3026b " 7,75+1,49+3,36+9,90+4,73+6,85+2,08+3,08+7,0</t>
  </si>
  <si>
    <t>" Pomocné lešení - 4. NP - místnosti 4028 - 4032 " 1,65+4,22+2,89+4,83+2,28+2,94</t>
  </si>
  <si>
    <t>" Pomocné lešení - 5. NP - místnost 5017, 5020 " 4,34+3,32</t>
  </si>
  <si>
    <t>" Vyčištění místností po bouracích pracích - 1 PP - 5. NP "</t>
  </si>
  <si>
    <t>" Vyčištění místností - 1. PP - místnosti -1012, -1013, -1015, -1016 " 3,1+3,04+3,9+1,89</t>
  </si>
  <si>
    <t>" Vyčištění místností - 1. NP - místnosti 1005 - 1008c " 4,5+3,15+5,06+15,53+6,88+4,45+1,51+4,11</t>
  </si>
  <si>
    <t>" Vyčištění místností - 2. NP - místnosti 2013, 2015 - 2017a, 2046 - 2047 " 15,55+4,00+1,61+4,45+6,88+4,17+3,02+4,87</t>
  </si>
  <si>
    <t>" Vyčištění místností - 3. NP - místnosti 3004 - 3007a, 3026 - 3026b " 7,75+1,49+3,36+9,90+4,73+6,85+2,08+3,08+7,0</t>
  </si>
  <si>
    <t>" Vyčištění místností - 4. NP - místnosti 4028 - 4032 " 1,65+4,22+2,89+4,83+2,28+2,94</t>
  </si>
  <si>
    <t>" Vyčištění místností - 5. NP - místnost 5017, 5020 " 4,34+3,32</t>
  </si>
  <si>
    <t xml:space="preserve">" Vyčištění budov - plochy dopravních komunikací v objektu - odhad 200 m2 " </t>
  </si>
  <si>
    <t>Bourání příček z cihel pálených na MVC tl do 100 mm</t>
  </si>
  <si>
    <t>" Bourání příček z CP - 1. PP " 2,05*2,75-0,7*2,02</t>
  </si>
  <si>
    <t>" Bourání příček z CP - 3. NP " 18,85*3,65-13,74</t>
  </si>
  <si>
    <t>" Bourání příček z CP - 4. NP " 3,6*3,65</t>
  </si>
  <si>
    <t>" Bourání příček z CP - 5. NP " 1,0*3,65</t>
  </si>
  <si>
    <t>" Bourání příček z CP - 4. NP - tl. 130 mm " 1,4*3,65-0,9*2,02</t>
  </si>
  <si>
    <t>" Bourání příček z CP - 4. NP - tl. 150 mm " 2,31*3,65-0,9*2,02</t>
  </si>
  <si>
    <t>" Vybourání luxfer - 2. NP " (1,6*1,0)*1</t>
  </si>
  <si>
    <t>" Vybourání luxfer - 3. NP " (1,6*1,0)*1+(1,2*1,0)*1</t>
  </si>
  <si>
    <t>" Vybourání luxfer - 4. NP " (0,8*1,0)*2</t>
  </si>
  <si>
    <t>Bourání zdiva z cihel pálených nebo vápenopískových na MC přes 1 m3</t>
  </si>
  <si>
    <t>m3</t>
  </si>
  <si>
    <t>" Bourání zdiva z CP  - 3 . NP - tl. 200 mm " 0,2*(1,05*3,65)</t>
  </si>
  <si>
    <t>" Bourání zdiva z CP  - 4 . NP - tl. 200 mm " 0,2*(0,6*3,65)</t>
  </si>
  <si>
    <t>" Bourání zdiva z CP  - 4 . NP - tl. 350 mm " 0,35*(0,5*3,65)</t>
  </si>
  <si>
    <t>964011901 SPC</t>
  </si>
  <si>
    <t>Vybourání / odstranění stávajícího překladu nade dveřmi při rozšiřování otvorů - Specifikace dle PD</t>
  </si>
  <si>
    <t>" Vybourání / odstranění stávajícího překladu nade dveřmi po rozšíření otvoru v příčce tl. 100 mm - 5. NP " 1</t>
  </si>
  <si>
    <t>" V ceně také vysekání kapsy s uložením, případný odvoz a likvidace suti. "</t>
  </si>
  <si>
    <t>" Odstranění veškerých podkladních vrstev vč. případných výkopových prací  (vč. zpětného záhozu, přehutnění, ...) pro napojení nového stoupacího potrubí dešťové kanalizace na stávající svodné potrubí.  "</t>
  </si>
  <si>
    <t>" Odstranění celkové skladby podlahy vč. nášlapné vrstvy + obvodových lišt - HI, podkladní ŽB desky, násypů, TI, podkladních vrstev, zabetonovaných prvků, apod.. "</t>
  </si>
  <si>
    <t>Bourání podkladů pod dlažby nebo mazanin betonových nebo z litého asfaltu tl do 100 mm pl přes 4 m2</t>
  </si>
  <si>
    <t xml:space="preserve">" Odstranění maltového lože pod bouranou keramickou dlažbou. Odhadovaná tl. 22 mm. " </t>
  </si>
  <si>
    <t>" 1. PP " (3,1+3,04+3,9+1,89)*0,022</t>
  </si>
  <si>
    <t>" 1. NP " (4,5+3,15+5,06+15,53+6,88+4,45+1,51+4,11)*0,022</t>
  </si>
  <si>
    <t>" 2. NP " (15,55+4,00+1,61+4,45+6,88+4,17+3,02+4,87)*0,022</t>
  </si>
  <si>
    <t>" 3. NP " (7,75+1,49+3,36+9,90+4,73+6,85+2,08+3,08+7,0)*0,022</t>
  </si>
  <si>
    <t>" 4. NP " (1,65+4,22+2,89+4,83+2,28+2,94)*0,022</t>
  </si>
  <si>
    <t>" 5. NP " (3,32)*0,022</t>
  </si>
  <si>
    <t>Bourání podlah z dlaždic keramických nebo xylolitových tl přes 10 mm plochy přes 1 m2</t>
  </si>
  <si>
    <t>" Bourání nášlapné vrstvy z keramické dlažby v 1. PP - místnosti -1012, -1013, -1015, -1016 " 3,1+3,04+3,9+1,89</t>
  </si>
  <si>
    <t>" Bourání nášlapné vrstvy z keramické dlažby v 1. NP - místnosti 1005 - 1008c " 4,5+3,15+5,06+15,53+6,88+4,45+1,51+4,11</t>
  </si>
  <si>
    <t>" Bourání nášlapné vrstvy z keramické dlažby v 2. NP - místnosti 2013, 2015 - 2017a, 2046 - 2047 " 15,55+4,00+1,61+4,45+6,88+4,17+3,02+4,87</t>
  </si>
  <si>
    <t>" Bourání nášlapné vrstvy z keramické dlažby v 3. NP - místnosti 3004 - 3007a, 3026 - 3026b " 7,75+1,49+3,36+9,90+4,73+6,85+2,08+3,08+7,0</t>
  </si>
  <si>
    <t>" Bourání nášlapné vrstvy z keramické dlažby v 4. NP - místnosti 4028 - 4032 " 1,65+4,22+2,89+4,83+2,28+2,94</t>
  </si>
  <si>
    <t>" Bourání nášlapné vrstvy z keramické dlažby v 5. NP - místnost 5020 " 3,32</t>
  </si>
  <si>
    <t>Přisekání rovných ostění v cihelném zdivu na MV nebo MVC</t>
  </si>
  <si>
    <t>" Zarovnání ostění a nadpraží po rozšíření stávajícího otvoru po vybouraných dveřích - 5. NP " 0,1*2,02+0,1*1,05</t>
  </si>
  <si>
    <t>" Zarovnání ostění a nadpraží po rozšíření stávajícího otvoru po vybouraných dveřích - 5. NP " 0,1*2,02+0,1*0,9</t>
  </si>
  <si>
    <t>" Vybourání oken v bouraných příčkách - 1. NP " (1,0*1,6)*1</t>
  </si>
  <si>
    <t>Vybourání kovových / dřevěných / plastových dveřních zárubní a rámů vč. křídel, vybourání posuvných dveří vč. pouzdra, vybourání vrat - Specifikace dle PD</t>
  </si>
  <si>
    <t>" Vybourání dveří v 1. PP " (0,7*2,02)*1</t>
  </si>
  <si>
    <t>" Vybourání dveří posuvných sprchového koutu v 1. PP " (0,91*2,0)*1</t>
  </si>
  <si>
    <t>" Vybourání dveří v 1. NP " (0,7*2,02)*2+(0,8*2,02)*1+(0,9*2,02)*2+(1,0*2,02)*1</t>
  </si>
  <si>
    <t>" Vybourání dveří v 2. NP " (0,7*2,02)*2+(0,8*2,02)*1+(0,9*2,02)*2+(1,0*2,02)*1</t>
  </si>
  <si>
    <t>" Vybourání dveří v 3. NP " (0,7*2,02)*3+(0,9*2,02)*3+(1,0*2,02)*2</t>
  </si>
  <si>
    <t>" Vybourání dveří v 4. NP " (0,9*2,02)*4</t>
  </si>
  <si>
    <t>" Vybourání dveří v 5. NP " (0,7*2,02)*1+(0,9*2,02)*1</t>
  </si>
  <si>
    <t>Vybourání zárubní, rámů, kolejnic dveří shrnovacích - Specifikace dle PD</t>
  </si>
  <si>
    <t>" Vybourání dveří v 1. NP " (1,1*2,02)*1</t>
  </si>
  <si>
    <t>" V položce zahruto odstranění kolejnice, ochraného prvku, shrnovacích dveřívč, demontáže z kolejnic a dalšího veškerého příslušenství. "</t>
  </si>
  <si>
    <t>Vybourání otvorů ve zdivu cihelném pl do 1 m2 na MC tl do 100 mm</t>
  </si>
  <si>
    <t>" Vybourání otvorů ve zdivu - pro rozšíření stávajícího otvoru - 5. NP " 0,4*2,02</t>
  </si>
  <si>
    <t>Vybourání otvorů ve zdivu cihelném pl do 4 m2 na MC tl do 300 mm</t>
  </si>
  <si>
    <t>" Vybourání otvoru ve zdivu - pro propojní místností - 1. PP " (1,1*2,9)*0,2</t>
  </si>
  <si>
    <t>Vysekání výklenků ve zdivu cihelném na MV nebo MVC pl přes 0,25 m2</t>
  </si>
  <si>
    <t xml:space="preserve">" Vysekání nik pro nádržku WC - š. 600 mm, hl. 100 mm, dl 1 165 mm " </t>
  </si>
  <si>
    <t>" 1. NP " (0,1*0,6*1,165)*6</t>
  </si>
  <si>
    <t>" 2. NP " (0,1*0,6*1,165)*6</t>
  </si>
  <si>
    <t>" 3. NP " (0,1*0,6*1,165)*6</t>
  </si>
  <si>
    <t>" 3. NP " (0,1*0,6*1,165)*3</t>
  </si>
  <si>
    <t>Vysekání rýh ve zdivu cihelném hl do 50 mm š do 70 mm</t>
  </si>
  <si>
    <t xml:space="preserve">" Vysekání drážek a rýh v obvodovém zdivu pro vedení potrubí vodovodu - SV. Uvažována š. do 70 mm, hl. 50 mm " </t>
  </si>
  <si>
    <t>" 4. NP " 0,8</t>
  </si>
  <si>
    <t xml:space="preserve">" Vysekání drážek a rýh v obvodovém zdivu pro vedení potrubí vodovodu svislé části připojovacího potrubí - SV. Uvažována š. do 70 mm, hl. 50 mm " </t>
  </si>
  <si>
    <t>" 1. NP - 4. NP " 68,75</t>
  </si>
  <si>
    <t>" 1. PP " 1,0</t>
  </si>
  <si>
    <t>" 1. NP " 7,5</t>
  </si>
  <si>
    <t>" 2. NP " 5,8</t>
  </si>
  <si>
    <t>" 3. NP " 5,1</t>
  </si>
  <si>
    <t>" 4. NP " 3,6</t>
  </si>
  <si>
    <t>" 5. NP " 0,9</t>
  </si>
  <si>
    <t>Vysekání rýh ve zdivu cihelném hl do 70 mm š do 70 mm</t>
  </si>
  <si>
    <t xml:space="preserve">" Vysekání drážek a rýh v obvodovém zdivu pro vedení potrubí kanalizace DN 40, 50. Uvažována š. 70 mm, hl. 70 mm " </t>
  </si>
  <si>
    <t>" 1. NP " 1,3+3,1</t>
  </si>
  <si>
    <t>" 2. NP " 1,3+2,8</t>
  </si>
  <si>
    <t>" 3. NP " 4,2</t>
  </si>
  <si>
    <t>" 4. NP " 0,9+1,3</t>
  </si>
  <si>
    <t>Vysekání rýh ve zdivu cihelném hl do 150 mm š do 150 mm</t>
  </si>
  <si>
    <t xml:space="preserve">" Vysekání drážek a rýh v obvodovém zdivu pro vedení potrubí kanalizace DN 110. Uvažována š. 150 mm, hl. 150 mm " </t>
  </si>
  <si>
    <t>" 1. NP " 3,6</t>
  </si>
  <si>
    <t>" 2. NP " 4,3</t>
  </si>
  <si>
    <t>" 3. NP " 3,9</t>
  </si>
  <si>
    <t>" 4. NP " 2,0</t>
  </si>
  <si>
    <t>Vysekání rýh ve zdivu cihelném hl do 150 mm š do 200 mm</t>
  </si>
  <si>
    <t xml:space="preserve">" Vysekání drážek a rýh v obvodovém zdivu pro vedení potrubí vodovodu - TV a SV. Uvažována š. do 200 mm, hl. 150 mm " </t>
  </si>
  <si>
    <t>" 2. NP " 3,3</t>
  </si>
  <si>
    <t>" 3. NP " 3,4</t>
  </si>
  <si>
    <t>" 5. NP " 0,5</t>
  </si>
  <si>
    <t xml:space="preserve">" Vysekání drážek a rýh v obvodovém zdivu pro vedení potrubí vodovodu - svislé části připojovacího potrubí - TV a SV. Uvažována š. do 200 mm, hl. 150 mm " </t>
  </si>
  <si>
    <t>" 1. PP - 3. NP " 28,75</t>
  </si>
  <si>
    <t>Vysekání rýh ve zdivu cihelném hl do 150 mm š do 300 mm</t>
  </si>
  <si>
    <t xml:space="preserve">" Případné vysekání / rozšíření drážek a rýh v obvodovém zdivu pro vedení potrubí vodovodu stoupacího. Uvažována š. 400 mm, hl. 150 mm " </t>
  </si>
  <si>
    <t>" 1. PP - 5. NP " (2,9+3,65*4+2,75)*4</t>
  </si>
  <si>
    <t>Příplatek k vysekání rýh ve zdivu cihelném hl do 150 mm ZKD 100 mm š rýhy</t>
  </si>
  <si>
    <t>" Příplatek za rýhy pro stoupací potrubí vodovodu za š. od 300 do 400 mm. "</t>
  </si>
  <si>
    <t>Vysekání rýh ve zdivu cihelném pro vtahování nosníků hl do 150 mm v do 150 mm</t>
  </si>
  <si>
    <t>" Vysekání rýh pro uložení překladu  2x L 40×4 pro niku nádržek vč. uložení. " (1,2+(0,05*2))*1</t>
  </si>
  <si>
    <t>Vybourání kanalizačních rámů včetně poklopů nebo mříží pl do 0,6 m2</t>
  </si>
  <si>
    <t xml:space="preserve">" Bourání stávajícího poklopu v 1. PP " </t>
  </si>
  <si>
    <t>Řezání stěnovou pilou kcí z cihel nebo tvárnic hl do 350 mm</t>
  </si>
  <si>
    <t>" Řezání zdiva v části pro jeho vybourání - 1. PP " (2,9)*2+1,1</t>
  </si>
  <si>
    <t>Podchycení příček tl do 150 mm dřevěnou výztuhou v do 3 m dl podchycení do 3 m</t>
  </si>
  <si>
    <t>" Podchycení stávajících příček při bourání a rozšiřování otvorů - 5. NP " (1,05)*1</t>
  </si>
  <si>
    <t>" Otlučení omítek stropů - 1. PP - 5. NP "</t>
  </si>
  <si>
    <t>" 1. PP " 3,1+3,04+3,9+1,89</t>
  </si>
  <si>
    <t>" 1. NP " 4,5+3,15+5,06+15,53+6,88+4,45+1,51+4,11</t>
  </si>
  <si>
    <t>" 2. NP " 15,55+4,00+1,61+4,45+6,88+4,17+3,02+4,87</t>
  </si>
  <si>
    <t>" 3. NP " 7,75+1,49+3,36+9,90+4,73+6,85+2,08+3,08+7,0</t>
  </si>
  <si>
    <t>" 4. NP " 1,65+4,22+2,89+4,83+2,28+2,94</t>
  </si>
  <si>
    <t>" 5. NP " 3,32</t>
  </si>
  <si>
    <t>" Otlučení omítek stěn - 1. PP - 5. NP. Ve výšce nad novým obkladem - od v 2,0 m.  "</t>
  </si>
  <si>
    <t>" 1. PP " 15,98</t>
  </si>
  <si>
    <t>" 1. NP " 68,31</t>
  </si>
  <si>
    <t>" 2. NP " 66,83</t>
  </si>
  <si>
    <t>" 3. NP " 66,75</t>
  </si>
  <si>
    <t>" 4. NP " 28,88</t>
  </si>
  <si>
    <t>" 5. NP " 4,88</t>
  </si>
  <si>
    <t>" Odstranění keramického obkladu - 1. PP " 6,39+32,59</t>
  </si>
  <si>
    <t>" Odstranění keramického obkladu - 1. NP " 45,1+73,87</t>
  </si>
  <si>
    <t>" Odstranění keramického obkladu - 2. NP " 44,4+72,2</t>
  </si>
  <si>
    <t>" Odstranění keramického obkladu - 3. NP " 53,72+72,21</t>
  </si>
  <si>
    <t>" Odstranění keramického obkladu - 4. NP " 29,63+35,88</t>
  </si>
  <si>
    <t>" Odstranění keramického obkladu - 5. NP " 6,6+13,53+(1,0)</t>
  </si>
  <si>
    <t>Náklady spojené s odvozem a uložením suti - směsný stavební odpad (ŽB, PB, kámen, keramika, PVC a ostatní...)</t>
  </si>
  <si>
    <t>" - Vnitrostaveništní doprava suti a vybouraných hmot pro budovy v do 21 m ručně. V ceně svislé a vodorovné přesunutí sutě vč. naložení s urovnáním. "</t>
  </si>
  <si>
    <t>997999903 SPC</t>
  </si>
  <si>
    <t>Náklady spojené s odvozem a uložením suti - kov</t>
  </si>
  <si>
    <t>" - Poplatek za uložení na skládce (skládkovné) kovového odpadu "</t>
  </si>
  <si>
    <t>Přesun hmot ruční pro budovy v do 24 m</t>
  </si>
  <si>
    <t>721999101 SPC</t>
  </si>
  <si>
    <t>Demontáž podlahové vpusti - Specifikace dle PD</t>
  </si>
  <si>
    <t>" 1. PP "</t>
  </si>
  <si>
    <t>" 1. NP "</t>
  </si>
  <si>
    <t>" 2. NP "</t>
  </si>
  <si>
    <t>" 3. NP "</t>
  </si>
  <si>
    <t>" 4. NP "</t>
  </si>
  <si>
    <t>" 5. NP "</t>
  </si>
  <si>
    <t>" Demontáž včetně připojovacího potrubí, tvarovek, a veškerého příslušenství. Cena včetně zaslepení stávajícího potrubí a zapravení povrchových úprav. "</t>
  </si>
  <si>
    <t>725110811 RTO</t>
  </si>
  <si>
    <t>Demontáž klozetu splachovacího s nádrží nebo tlakovým splachovačem - Specifikace dle PD</t>
  </si>
  <si>
    <t>" 1. NP  - WC pro ZTP "</t>
  </si>
  <si>
    <t>" 2. NP  - WC pro ZTP "</t>
  </si>
  <si>
    <t>" 3. NP  - WC pro ZTP "</t>
  </si>
  <si>
    <t>" Demontáž včetně splachovací nádržky/tlakového splachovače, výtokových armatur, rohových ventilů, konzol, připojovacího potrubí, tvarovek, armatur a veškerého příslušenství. Cena včetně zaslepení stávajícího potrubí a zapravení povrchových úprav "</t>
  </si>
  <si>
    <t>725122813 RTO</t>
  </si>
  <si>
    <t>Demontáž pisoárového stání - Specifikace dle PD</t>
  </si>
  <si>
    <t>" Demontáž včetně výtokových armatur, rohových ventilů, konzol, připojovacího potrubí, tvarovek, armatur a veškerého příslušenství. Cena včetně zaslepení stávajícího potrubí a zapravení povrchových úprav. "</t>
  </si>
  <si>
    <t>725210821 RTO</t>
  </si>
  <si>
    <t>Demontáž umyvadla - Specifikace dle PD</t>
  </si>
  <si>
    <t>" 1. NP - umyvadlo ZTP "</t>
  </si>
  <si>
    <t>" 2. NP - umyvadlo ZTP "</t>
  </si>
  <si>
    <t>" 3. NP - umyvadlo ZTP "</t>
  </si>
  <si>
    <t>725240812 RTO</t>
  </si>
  <si>
    <t>Demontáž sprchového koutu - vaničky - Specifikace dle PD</t>
  </si>
  <si>
    <t>" Demontáž sprchového koutu - vaničky - 5. NP "</t>
  </si>
  <si>
    <t>725330820 RTO</t>
  </si>
  <si>
    <t>Demontáž výlevky - Specifikace dle PD</t>
  </si>
  <si>
    <t>" Demontáž včetně mříže, výtokových armatur, rohových ventilů, konzol, připojovacího potrubí, tvarovek, armatur a veškerého příslušenství. Cena včetně zaslepení stávajícího potrubí a zapravení povrchových úprav. "</t>
  </si>
  <si>
    <t>763</t>
  </si>
  <si>
    <t>Demontáž SDK příčky s jednoduchou ocelovou nosnou konstrukcí opláštění dvojité</t>
  </si>
  <si>
    <t xml:space="preserve">CS ÚRS 2020 01 </t>
  </si>
  <si>
    <t>" Součástí demontáže je odstranění desek, nosné konstrukce i tepelné izolace "</t>
  </si>
  <si>
    <t>Demontáž SDK podhledu s jednovrstvou nosnou kcí z ocelových profilů opláštění dvojité</t>
  </si>
  <si>
    <t>" Demontáž podhledu v 1. NP " 4,11</t>
  </si>
  <si>
    <t>" Demontáž podhledu v 2. NP " 4,00</t>
  </si>
  <si>
    <t>" Součástí demontáže je odstranění desek i nosné konstrukce "</t>
  </si>
  <si>
    <t>Demontáž SDK předsazené/šachtové stěny s nosnou kcí se zdvojeným CW profilem opláštění dvojité</t>
  </si>
  <si>
    <t>" Demontáž SDK opláštění instalačních jáder v 1. PP " 1,93</t>
  </si>
  <si>
    <t>" Demontáž SDK opláštění instalačních jáder v 1. NP " 7,12</t>
  </si>
  <si>
    <t>" Demontáž SDK opláštění instalačních jáder v 2. NP " 7,67</t>
  </si>
  <si>
    <t>" Demontáž SDK opláštění instalačních jáder v 3. NP " 4,02</t>
  </si>
  <si>
    <t>" Demontáž SDK opláštění instalačních jáder v 4. NP " 4,02</t>
  </si>
  <si>
    <t>" Demontáž SDK opláštění instalačních jáder v 5. NP " 2,01</t>
  </si>
  <si>
    <t>Demontáž sanitárních příček z desek</t>
  </si>
  <si>
    <t xml:space="preserve">" Demontáž sanitárních příček v sociálních zařízeních " </t>
  </si>
  <si>
    <t>" 1. PP " (1,55+1,9-0,6*2)*2,0</t>
  </si>
  <si>
    <t>" 1. NP " (1,3+1,2+2,15+1,45+1,35+3,2-0,6*6)*2,0</t>
  </si>
  <si>
    <t>" 2. NP " (1,3+1,2+2,0+1,45+1,35+3,2-0,6*6)*2,0</t>
  </si>
  <si>
    <t>" 3. NP " (1,3+3,2+1,5+1,45-0,6*4)*2,0</t>
  </si>
  <si>
    <t>" 4. NP " (1,05+1,65+1,15+1,8+1,3-0,6*4)*2,0</t>
  </si>
  <si>
    <t>Demontáž dveří sanitárních příček</t>
  </si>
  <si>
    <t xml:space="preserve">" Demontáž dveří v sanitárních příčkách v sociálních zařízeních " </t>
  </si>
  <si>
    <t>Odstranění nábytku a vybavení z místnosti 5020 - Specifikace dle PD</t>
  </si>
  <si>
    <t>" Odstranění nábytku a vybavení místnosti 5020 - odstranění věšáku, stolu, a případného příslušenství.. "</t>
  </si>
  <si>
    <t>Vysklívání oken a dveří plochy do 3 m2 skla plochého</t>
  </si>
  <si>
    <t>" Vysklívání posuvných dveří sprchového koutu v 1. PP " (0,91*2,0)*1</t>
  </si>
  <si>
    <t>" Vysklívání prosvětlovacího otvoru v 1. NP " (1,0*1,6)*1</t>
  </si>
  <si>
    <t>" Stavební práce a dodávky spojené s provedením funkčního celku 787 "</t>
  </si>
  <si>
    <t>" Odstranění technologického zařízení (ohřívačů vody apod.), spotřebičů, nábytkových souprav, vybavení sociálního zařízení (dávkovačů, zásobníků zrcadel, odpadkových košů madel, oddáleného splachování, přebalovacího pultu, sprchových závěsů vč. tyče, …)  a dalších věcí výše jednotlivě neuvedených určených pro odstranění. "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</si>
  <si>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</si>
  <si>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Stavební práce a dodávky spojené s provedením funkčního celku 763 "</t>
  </si>
  <si>
    <t xml:space="preserve">" Vysekání drážek a rýh v obvodovém zdivu pro vedení potrubí vytápění - š. 150 mm, hl. 50 mm " </t>
  </si>
  <si>
    <t>945412901 SPC</t>
  </si>
  <si>
    <t>" V ceně pronájem plošiny / lešení, příslušenství pro lešení (ochranná síť, stříška, …) vč. pronájmu, a další případné práce a materiál. "</t>
  </si>
  <si>
    <t>" POZN: Volba vzhledem k umístění otvorů a přístupnosti. "</t>
  </si>
  <si>
    <t xml:space="preserve">" Teleskopická plošina / lešení pro úpravu otvorů pro vybourání prostupů pro VZT potrubí a dalších prací na fasádě. " </t>
  </si>
  <si>
    <t>" Likvidace vybouraného materiálu - poklop+ rám " 0,045</t>
  </si>
  <si>
    <t>" Likvidace vybouraného materiálu " 0,048+0,492</t>
  </si>
  <si>
    <t>Jádrové vrty diamantovými korunkami do D 300 mm do stavebních materiálů</t>
  </si>
  <si>
    <t>Jádrové vrty diamantovými korunkami do D 350 mm do stavebních materiálů</t>
  </si>
  <si>
    <t>005</t>
  </si>
  <si>
    <t>" Vrty pro potrubí VZT skrze fasádu "</t>
  </si>
  <si>
    <t>" 1. PP " 0,6</t>
  </si>
  <si>
    <t>" 1. NP " 0,6</t>
  </si>
  <si>
    <t>" 2. NP " 0,6</t>
  </si>
  <si>
    <t>" 3. NP " 0,55</t>
  </si>
  <si>
    <t>" 4. NP " 0,45</t>
  </si>
  <si>
    <t>Teleskopická hydraulická montážní plošina výška zdvihu do 21 m / lešení vč. pronájmů a příslušenství</t>
  </si>
  <si>
    <t>014</t>
  </si>
  <si>
    <t>Ochrana konstrukcí nebo samostatných prvků obalením geotextilií</t>
  </si>
  <si>
    <t xml:space="preserve">" Demontáž SDK konstrukce - na sociálních zařízeních - 50 m2 "  </t>
  </si>
  <si>
    <t>" Součástí demontáže je odstranění desek, nosné konstrukce i tepelné / akustické izolace "</t>
  </si>
  <si>
    <t>Ochrana podlahy obedněním z OSB desek</t>
  </si>
  <si>
    <t>" Ochrana podlahy před poškozením během provádění prací OSB deskou. "</t>
  </si>
  <si>
    <t>" V ceně zohledněno také pozdější odstranění ochrany. "</t>
  </si>
  <si>
    <t>Ochrana svislých ploch obedněním z OSB desek</t>
  </si>
  <si>
    <t>" Ochrana svislých ploch před poškozením během provádění prací obedněním. "</t>
  </si>
  <si>
    <t>Separační vrstva z geotextilie</t>
  </si>
  <si>
    <t>" Geotextálie na podlahu z důvodu provádění prací proti poškození. "</t>
  </si>
  <si>
    <t>" V ceně dodávka, montáž, pozdější demontáž vč. případné likvidace. "</t>
  </si>
  <si>
    <t>" Geotextálie na stěny z důvodu provádění prací proti poškození. "</t>
  </si>
  <si>
    <t>" Ochrana podlahy - OSB deska pod geotextílii " ((10*3,25)*6)*1,1</t>
  </si>
  <si>
    <t>" Ochrana podlahy " ((10*3,25)*6)*1,15</t>
  </si>
  <si>
    <t>632481215 RTO</t>
  </si>
  <si>
    <t>Separační vrstva z geotextilie - na stěny</t>
  </si>
  <si>
    <t>" Ochrana stěn, zdiva apod " ((10*2,0*2)*6)*1,1</t>
  </si>
  <si>
    <t>" Ochrana stěn, zdiva apod " ((10*2,0*2)*6)*1,15</t>
  </si>
  <si>
    <t>43a</t>
  </si>
  <si>
    <t>43b</t>
  </si>
  <si>
    <t>43c</t>
  </si>
  <si>
    <t>43d</t>
  </si>
  <si>
    <t>" V ceně také vysekání stávající vpusti z konstrukce podlahy / stropu. "</t>
  </si>
  <si>
    <t>" Součástí ceny také demontáž zámkových vložek dveří vč. předání investorovi. "</t>
  </si>
  <si>
    <t>" Vybourání / odstranění stávajícího překladu nade dveřmi po rozšíření otvoru v nosné zdi a napojení příčky na zárubně tl. 100 mm - 1. NP - pro dveře D101 " 1</t>
  </si>
  <si>
    <t>" Vybourání / odstranění stávajícího překladu nade dveřmi po rozšíření otvoru v nosné zdi a napojení příčky na zárubně tl. 100 mm - 2. NP - pro dveře D201 " 1</t>
  </si>
  <si>
    <t>964011902 SPC</t>
  </si>
  <si>
    <t>" Vysekání rýh pro uložení překladů  I č. 80 pro niku nádržek vč. uložení. " ((0,9+(0,05*2))*1)*21</t>
  </si>
  <si>
    <t>" Vysekání rýh pro uložení překladů  I č. 80 pro rozšíření otvorů a dveří - 1. NP + 2. NP. " ((1,3+(0,05*2))*1)*2</t>
  </si>
  <si>
    <t>" Bourání příček z CP - 1. NP " 15,15*3,65-8,28+0,1*2,02</t>
  </si>
  <si>
    <t>" Bourání příček z CP - 2. NP " 14,85*3,65-8,28+0,1*2,02</t>
  </si>
  <si>
    <t>Vysekání kapes ve zdivu cihelném na MV nebo MVC pl do 0,10 m2 hl do 150 mm</t>
  </si>
  <si>
    <t>" Vysekání kapes pro případné vybourání nosníku nad dveřmi mezi místnosti 1007 a 1014 " 2,0*1</t>
  </si>
  <si>
    <t>" Vysekání kapes pro případné vybourání nosníku nad dveřmi mezi místnosti 2002 a 2013 " 2,0*1</t>
  </si>
  <si>
    <t>" Zarovnání ostění a nadpraží po rozšíření stávajícího otvoru po vybouraných dveřích - 1. NP " 0,1*2,02+0,1*1,0</t>
  </si>
  <si>
    <t>" Zarovnání ostění a nadpraží po rozšíření stávajícího otvoru po vybouraných dveřích - 2. NP " 0,1*2,02+0,1*1,0</t>
  </si>
  <si>
    <t>" Likvidace vybouraného materiálu " 125,670-0,045-0,048-0,492</t>
  </si>
  <si>
    <t>44a</t>
  </si>
  <si>
    <t>44b</t>
  </si>
  <si>
    <t>44c</t>
  </si>
  <si>
    <t>44d</t>
  </si>
  <si>
    <t>45a</t>
  </si>
  <si>
    <t>45b</t>
  </si>
  <si>
    <t>45c</t>
  </si>
  <si>
    <t>45d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</si>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</sst>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Kč&quot;;[Red]\-#,##0.00\ &quot;Kč&quot;"/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_ ;\-#,##0.00\ "/>
    <numFmt numFmtId="169" formatCode="#,##0_ ;\-#,##0\ "/>
  </numFmts>
  <fonts count="6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2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.5"/>
      <color rgb="FFFF0000"/>
      <name val="MS Sans Serif"/>
      <family val="2"/>
    </font>
    <font>
      <b/>
      <sz val="10"/>
      <color rgb="FFFF0000"/>
      <name val="Trebuchet MS"/>
      <family val="2"/>
      <charset val="238"/>
    </font>
    <font>
      <b/>
      <sz val="8"/>
      <color rgb="FFFF0000"/>
      <name val="MS Sans Serif"/>
      <family val="2"/>
      <charset val="238"/>
    </font>
    <font>
      <sz val="8"/>
      <name val="Trebuchet MS"/>
      <family val="2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b/>
      <sz val="10"/>
      <color rgb="FFFF0000"/>
      <name val="Arial CE"/>
      <family val="2"/>
      <charset val="238"/>
    </font>
    <font>
      <sz val="8"/>
      <color indexed="54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10"/>
      <name val="MS Sans Serif"/>
      <family val="2"/>
    </font>
    <font>
      <b/>
      <sz val="8"/>
      <color indexed="10"/>
      <name val="MS Sans Serif"/>
      <family val="2"/>
    </font>
    <font>
      <b/>
      <sz val="11"/>
      <color indexed="10"/>
      <name val="MS Sans Serif"/>
      <family val="2"/>
    </font>
    <font>
      <b/>
      <sz val="8.5"/>
      <color indexed="1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sz val="12"/>
      <name val="MS Sans Serif"/>
      <family val="2"/>
    </font>
    <font>
      <b/>
      <sz val="8"/>
      <color rgb="FFFF0000"/>
      <name val="Trebuchet MS"/>
      <family val="2"/>
      <charset val="238"/>
    </font>
    <font>
      <b/>
      <sz val="18"/>
      <color indexed="10"/>
      <name val="Calibri"/>
      <family val="2"/>
      <charset val="238"/>
    </font>
    <font>
      <b/>
      <sz val="12"/>
      <color indexed="10"/>
      <name val="MS Sans Serif"/>
      <family val="2"/>
    </font>
    <font>
      <sz val="10"/>
      <name val="Arial CE"/>
      <family val="2"/>
    </font>
    <font>
      <sz val="8"/>
      <color rgb="FFFF0000"/>
      <name val="Arial CE"/>
      <family val="2"/>
      <charset val="238"/>
    </font>
    <font>
      <b/>
      <sz val="1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8"/>
      <color rgb="FFFF0000"/>
      <name val="MS Sans Serif"/>
      <charset val="238"/>
    </font>
    <font>
      <b/>
      <sz val="10"/>
      <color rgb="FFFF0000"/>
      <name val="MS Sans Serif"/>
      <charset val="238"/>
    </font>
    <font>
      <b/>
      <sz val="9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color rgb="FFFF0000"/>
      <name val="MS Sans Serif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1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23" fillId="0" borderId="0"/>
  </cellStyleXfs>
  <cellXfs count="371">
    <xf numFmtId="0" fontId="0" fillId="0" borderId="0" xfId="0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2" fillId="0" borderId="0" xfId="1" applyAlignment="1">
      <alignment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 vertical="top"/>
      <protection locked="0"/>
    </xf>
    <xf numFmtId="0" fontId="6" fillId="0" borderId="0" xfId="2" applyAlignment="1" applyProtection="1">
      <alignment horizontal="left" vertical="top"/>
      <protection locked="0"/>
    </xf>
    <xf numFmtId="0" fontId="8" fillId="0" borderId="0" xfId="2" applyFont="1" applyAlignment="1" applyProtection="1">
      <alignment horizontal="left" vertical="top"/>
      <protection locked="0"/>
    </xf>
    <xf numFmtId="0" fontId="9" fillId="0" borderId="0" xfId="3" applyFont="1" applyFill="1" applyAlignment="1" applyProtection="1">
      <alignment horizontal="left"/>
    </xf>
    <xf numFmtId="0" fontId="9" fillId="2" borderId="0" xfId="2" applyFont="1" applyFill="1" applyAlignment="1" applyProtection="1">
      <alignment horizontal="left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9" fillId="0" borderId="5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>
      <alignment horizontal="lef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10" fillId="0" borderId="7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left" vertical="center"/>
    </xf>
    <xf numFmtId="166" fontId="10" fillId="0" borderId="7" xfId="1" applyNumberFormat="1" applyFont="1" applyBorder="1" applyAlignment="1" applyProtection="1">
      <alignment horizontal="right" vertical="center"/>
    </xf>
    <xf numFmtId="4" fontId="2" fillId="0" borderId="0" xfId="1" applyNumberFormat="1" applyAlignment="1">
      <alignment vertical="top"/>
      <protection locked="0"/>
    </xf>
    <xf numFmtId="0" fontId="11" fillId="0" borderId="7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/>
    </xf>
    <xf numFmtId="166" fontId="11" fillId="0" borderId="7" xfId="1" applyNumberFormat="1" applyFont="1" applyBorder="1" applyAlignment="1" applyProtection="1">
      <alignment horizontal="right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left" vertical="center"/>
    </xf>
    <xf numFmtId="166" fontId="12" fillId="0" borderId="7" xfId="1" applyNumberFormat="1" applyFont="1" applyBorder="1" applyAlignment="1" applyProtection="1">
      <alignment horizontal="right" vertical="center"/>
    </xf>
    <xf numFmtId="165" fontId="2" fillId="0" borderId="7" xfId="1" applyNumberFormat="1" applyFill="1" applyBorder="1" applyAlignment="1">
      <alignment horizontal="right" vertical="top"/>
      <protection locked="0"/>
    </xf>
    <xf numFmtId="0" fontId="13" fillId="0" borderId="7" xfId="1" applyFont="1" applyBorder="1" applyAlignment="1" applyProtection="1">
      <alignment horizontal="left" vertical="center"/>
    </xf>
    <xf numFmtId="166" fontId="13" fillId="0" borderId="7" xfId="1" applyNumberFormat="1" applyFont="1" applyBorder="1" applyAlignment="1" applyProtection="1">
      <alignment horizontal="right" vertical="center"/>
    </xf>
    <xf numFmtId="0" fontId="2" fillId="0" borderId="0" xfId="1" applyFill="1" applyAlignment="1">
      <alignment horizontal="left" vertical="top"/>
      <protection locked="0"/>
    </xf>
    <xf numFmtId="0" fontId="14" fillId="0" borderId="0" xfId="3" applyFont="1" applyFill="1" applyAlignment="1" applyProtection="1">
      <alignment horizontal="center" vertical="center"/>
      <protection locked="0"/>
    </xf>
    <xf numFmtId="0" fontId="15" fillId="0" borderId="0" xfId="1" applyFont="1" applyFill="1" applyAlignment="1">
      <alignment horizontal="left" vertical="center"/>
      <protection locked="0"/>
    </xf>
    <xf numFmtId="0" fontId="7" fillId="0" borderId="0" xfId="3" applyFill="1" applyAlignment="1" applyProtection="1">
      <alignment horizontal="left" vertical="top"/>
      <protection locked="0"/>
    </xf>
    <xf numFmtId="0" fontId="7" fillId="0" borderId="0" xfId="3" applyFill="1" applyAlignment="1" applyProtection="1"/>
    <xf numFmtId="0" fontId="7" fillId="0" borderId="0" xfId="3" applyAlignment="1" applyProtection="1"/>
    <xf numFmtId="0" fontId="4" fillId="0" borderId="0" xfId="3" applyFont="1" applyFill="1" applyAlignment="1" applyProtection="1">
      <alignment horizontal="left"/>
    </xf>
    <xf numFmtId="0" fontId="2" fillId="0" borderId="0" xfId="3" applyFont="1" applyFill="1" applyAlignment="1" applyProtection="1">
      <alignment horizontal="left" vertical="top"/>
      <protection locked="0"/>
    </xf>
    <xf numFmtId="0" fontId="7" fillId="0" borderId="0" xfId="3" applyFill="1" applyAlignment="1">
      <alignment horizontal="left" vertical="top"/>
      <protection locked="0"/>
    </xf>
    <xf numFmtId="0" fontId="8" fillId="0" borderId="0" xfId="3" applyFont="1" applyFill="1" applyAlignment="1" applyProtection="1">
      <alignment horizontal="left" vertical="top"/>
      <protection locked="0"/>
    </xf>
    <xf numFmtId="0" fontId="7" fillId="0" borderId="0" xfId="3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/>
    </xf>
    <xf numFmtId="0" fontId="7" fillId="0" borderId="0" xfId="3" applyFill="1" applyAlignment="1" applyProtection="1">
      <alignment horizontal="left" wrapText="1"/>
      <protection locked="0"/>
    </xf>
    <xf numFmtId="0" fontId="9" fillId="2" borderId="0" xfId="3" applyFont="1" applyFill="1" applyAlignment="1" applyProtection="1">
      <alignment horizontal="left"/>
    </xf>
    <xf numFmtId="0" fontId="7" fillId="0" borderId="0" xfId="3" applyAlignment="1">
      <alignment horizontal="left" vertical="top"/>
      <protection locked="0"/>
    </xf>
    <xf numFmtId="2" fontId="16" fillId="0" borderId="0" xfId="3" applyNumberFormat="1" applyFont="1" applyFill="1" applyAlignment="1" applyProtection="1">
      <alignment vertical="center"/>
      <protection locked="0"/>
    </xf>
    <xf numFmtId="0" fontId="17" fillId="0" borderId="0" xfId="1" applyFont="1" applyFill="1" applyAlignment="1">
      <alignment horizontal="left" vertical="center"/>
      <protection locked="0"/>
    </xf>
    <xf numFmtId="0" fontId="18" fillId="2" borderId="8" xfId="1" applyFont="1" applyFill="1" applyBorder="1" applyAlignment="1" applyProtection="1">
      <alignment horizontal="center" vertical="center" wrapText="1"/>
    </xf>
    <xf numFmtId="0" fontId="19" fillId="0" borderId="0" xfId="4" applyFill="1" applyAlignment="1">
      <alignment horizontal="left" vertical="top"/>
      <protection locked="0"/>
    </xf>
    <xf numFmtId="165" fontId="5" fillId="2" borderId="9" xfId="1" applyNumberFormat="1" applyFont="1" applyFill="1" applyBorder="1" applyAlignment="1">
      <alignment horizontal="right"/>
      <protection locked="0"/>
    </xf>
    <xf numFmtId="0" fontId="5" fillId="2" borderId="9" xfId="1" applyFont="1" applyFill="1" applyBorder="1" applyAlignment="1">
      <alignment horizontal="left" wrapText="1"/>
      <protection locked="0"/>
    </xf>
    <xf numFmtId="167" fontId="5" fillId="2" borderId="9" xfId="1" applyNumberFormat="1" applyFont="1" applyFill="1" applyBorder="1" applyAlignment="1">
      <alignment horizontal="right"/>
      <protection locked="0"/>
    </xf>
    <xf numFmtId="166" fontId="5" fillId="2" borderId="9" xfId="1" applyNumberFormat="1" applyFont="1" applyFill="1" applyBorder="1" applyAlignment="1">
      <alignment horizontal="right"/>
      <protection locked="0"/>
    </xf>
    <xf numFmtId="0" fontId="2" fillId="2" borderId="9" xfId="1" applyFill="1" applyBorder="1" applyAlignment="1">
      <alignment horizontal="left" vertical="top"/>
      <protection locked="0"/>
    </xf>
    <xf numFmtId="0" fontId="17" fillId="0" borderId="0" xfId="3" applyFont="1" applyFill="1" applyAlignment="1" applyProtection="1">
      <alignment horizontal="center" vertical="center"/>
      <protection locked="0"/>
    </xf>
    <xf numFmtId="165" fontId="5" fillId="0" borderId="7" xfId="2" applyNumberFormat="1" applyFont="1" applyFill="1" applyBorder="1" applyAlignment="1">
      <alignment horizontal="right"/>
      <protection locked="0"/>
    </xf>
    <xf numFmtId="0" fontId="5" fillId="0" borderId="7" xfId="2" applyFont="1" applyFill="1" applyBorder="1" applyAlignment="1">
      <alignment horizontal="left" wrapText="1"/>
      <protection locked="0"/>
    </xf>
    <xf numFmtId="0" fontId="5" fillId="0" borderId="7" xfId="1" applyFont="1" applyFill="1" applyBorder="1" applyAlignment="1">
      <alignment horizontal="left" wrapText="1"/>
      <protection locked="0"/>
    </xf>
    <xf numFmtId="2" fontId="5" fillId="0" borderId="7" xfId="1" applyNumberFormat="1" applyFont="1" applyFill="1" applyBorder="1" applyAlignment="1">
      <alignment horizontal="right"/>
      <protection locked="0"/>
    </xf>
    <xf numFmtId="166" fontId="5" fillId="0" borderId="7" xfId="1" applyNumberFormat="1" applyFont="1" applyFill="1" applyBorder="1" applyAlignment="1">
      <alignment horizontal="right"/>
      <protection locked="0"/>
    </xf>
    <xf numFmtId="0" fontId="6" fillId="0" borderId="7" xfId="2" applyFill="1" applyBorder="1" applyAlignment="1">
      <alignment horizontal="left" vertical="top"/>
      <protection locked="0"/>
    </xf>
    <xf numFmtId="165" fontId="9" fillId="0" borderId="7" xfId="2" applyNumberFormat="1" applyFont="1" applyFill="1" applyBorder="1" applyAlignment="1" applyProtection="1">
      <alignment horizontal="right"/>
      <protection locked="0"/>
    </xf>
    <xf numFmtId="49" fontId="9" fillId="0" borderId="7" xfId="2" applyNumberFormat="1" applyFont="1" applyFill="1" applyBorder="1" applyAlignment="1" applyProtection="1">
      <alignment horizontal="left" wrapText="1"/>
      <protection locked="0"/>
    </xf>
    <xf numFmtId="0" fontId="9" fillId="0" borderId="7" xfId="2" applyFont="1" applyFill="1" applyBorder="1" applyAlignment="1" applyProtection="1">
      <alignment horizontal="left" wrapText="1"/>
      <protection locked="0"/>
    </xf>
    <xf numFmtId="2" fontId="9" fillId="0" borderId="7" xfId="2" applyNumberFormat="1" applyFont="1" applyFill="1" applyBorder="1" applyAlignment="1" applyProtection="1">
      <protection locked="0"/>
    </xf>
    <xf numFmtId="166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 applyProtection="1">
      <alignment horizontal="left" vertical="top"/>
      <protection locked="0"/>
    </xf>
    <xf numFmtId="165" fontId="5" fillId="0" borderId="7" xfId="2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 applyProtection="1">
      <alignment horizontal="left" wrapText="1"/>
      <protection locked="0"/>
    </xf>
    <xf numFmtId="0" fontId="20" fillId="0" borderId="7" xfId="2" applyFont="1" applyFill="1" applyBorder="1" applyAlignment="1" applyProtection="1">
      <alignment horizontal="left" wrapText="1"/>
      <protection locked="0"/>
    </xf>
    <xf numFmtId="2" fontId="20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right"/>
      <protection locked="0"/>
    </xf>
    <xf numFmtId="0" fontId="6" fillId="0" borderId="7" xfId="2" applyFill="1" applyBorder="1" applyAlignment="1" applyProtection="1">
      <alignment vertical="top"/>
      <protection locked="0"/>
    </xf>
    <xf numFmtId="165" fontId="5" fillId="0" borderId="7" xfId="3" applyNumberFormat="1" applyFont="1" applyFill="1" applyBorder="1" applyAlignment="1">
      <alignment horizontal="right"/>
      <protection locked="0"/>
    </xf>
    <xf numFmtId="0" fontId="5" fillId="0" borderId="7" xfId="3" applyFont="1" applyFill="1" applyBorder="1" applyAlignment="1">
      <alignment horizontal="left" wrapText="1"/>
      <protection locked="0"/>
    </xf>
    <xf numFmtId="2" fontId="5" fillId="0" borderId="7" xfId="3" applyNumberFormat="1" applyFont="1" applyFill="1" applyBorder="1" applyAlignment="1">
      <alignment horizontal="right"/>
      <protection locked="0"/>
    </xf>
    <xf numFmtId="166" fontId="5" fillId="0" borderId="7" xfId="3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>
      <alignment horizontal="left" vertical="top"/>
      <protection locked="0"/>
    </xf>
    <xf numFmtId="0" fontId="22" fillId="0" borderId="0" xfId="3" applyFont="1" applyFill="1" applyAlignment="1">
      <alignment horizontal="left" vertical="center"/>
      <protection locked="0"/>
    </xf>
    <xf numFmtId="165" fontId="9" fillId="0" borderId="7" xfId="3" applyNumberFormat="1" applyFont="1" applyFill="1" applyBorder="1" applyAlignment="1" applyProtection="1">
      <alignment horizontal="right"/>
      <protection locked="0"/>
    </xf>
    <xf numFmtId="49" fontId="9" fillId="0" borderId="7" xfId="3" applyNumberFormat="1" applyFont="1" applyFill="1" applyBorder="1" applyAlignment="1" applyProtection="1">
      <alignment horizontal="left" wrapText="1"/>
      <protection locked="0"/>
    </xf>
    <xf numFmtId="0" fontId="9" fillId="0" borderId="7" xfId="5" applyNumberFormat="1" applyFont="1" applyFill="1" applyBorder="1" applyAlignment="1">
      <alignment horizontal="left"/>
    </xf>
    <xf numFmtId="0" fontId="9" fillId="0" borderId="7" xfId="3" applyFont="1" applyFill="1" applyBorder="1" applyAlignment="1" applyProtection="1">
      <alignment horizontal="left" wrapText="1"/>
      <protection locked="0"/>
    </xf>
    <xf numFmtId="2" fontId="9" fillId="0" borderId="7" xfId="3" applyNumberFormat="1" applyFont="1" applyFill="1" applyBorder="1" applyAlignment="1" applyProtection="1">
      <alignment horizontal="right"/>
      <protection locked="0"/>
    </xf>
    <xf numFmtId="168" fontId="9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right"/>
      <protection locked="0"/>
    </xf>
    <xf numFmtId="0" fontId="7" fillId="0" borderId="0" xfId="3" applyFill="1" applyAlignment="1" applyProtection="1">
      <alignment vertical="top"/>
      <protection locked="0"/>
    </xf>
    <xf numFmtId="0" fontId="24" fillId="0" borderId="7" xfId="3" applyFont="1" applyFill="1" applyBorder="1" applyAlignment="1" applyProtection="1">
      <alignment horizontal="left" wrapText="1"/>
      <protection locked="0"/>
    </xf>
    <xf numFmtId="0" fontId="7" fillId="0" borderId="0" xfId="3" applyFont="1" applyFill="1" applyAlignment="1" applyProtection="1">
      <alignment vertical="top"/>
      <protection locked="0"/>
    </xf>
    <xf numFmtId="2" fontId="20" fillId="0" borderId="7" xfId="3" applyNumberFormat="1" applyFont="1" applyFill="1" applyBorder="1" applyAlignment="1" applyProtection="1">
      <alignment horizontal="right" wrapText="1"/>
      <protection locked="0"/>
    </xf>
    <xf numFmtId="0" fontId="25" fillId="0" borderId="0" xfId="3" applyFont="1" applyFill="1" applyAlignment="1" applyProtection="1">
      <alignment horizontal="left" vertical="center"/>
      <protection locked="0"/>
    </xf>
    <xf numFmtId="165" fontId="26" fillId="0" borderId="7" xfId="3" applyNumberFormat="1" applyFont="1" applyFill="1" applyBorder="1" applyAlignment="1">
      <alignment horizontal="right"/>
      <protection locked="0"/>
    </xf>
    <xf numFmtId="0" fontId="26" fillId="0" borderId="7" xfId="3" applyFont="1" applyFill="1" applyBorder="1" applyAlignment="1">
      <alignment horizontal="left" wrapText="1"/>
      <protection locked="0"/>
    </xf>
    <xf numFmtId="0" fontId="24" fillId="0" borderId="7" xfId="3" applyFont="1" applyFill="1" applyBorder="1" applyAlignment="1">
      <alignment horizontal="left" wrapText="1"/>
      <protection locked="0"/>
    </xf>
    <xf numFmtId="166" fontId="26" fillId="0" borderId="7" xfId="3" applyNumberFormat="1" applyFont="1" applyFill="1" applyBorder="1" applyAlignment="1">
      <alignment horizontal="right"/>
      <protection locked="0"/>
    </xf>
    <xf numFmtId="166" fontId="9" fillId="0" borderId="7" xfId="3" applyNumberFormat="1" applyFont="1" applyFill="1" applyBorder="1" applyAlignment="1">
      <alignment horizontal="right"/>
      <protection locked="0"/>
    </xf>
    <xf numFmtId="2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 applyProtection="1">
      <alignment horizontal="center"/>
      <protection locked="0"/>
    </xf>
    <xf numFmtId="0" fontId="24" fillId="0" borderId="7" xfId="2" applyFont="1" applyFill="1" applyBorder="1" applyAlignment="1">
      <alignment horizontal="left" wrapText="1"/>
      <protection locked="0"/>
    </xf>
    <xf numFmtId="2" fontId="24" fillId="0" borderId="7" xfId="2" applyNumberFormat="1" applyFont="1" applyFill="1" applyBorder="1" applyAlignment="1" applyProtection="1">
      <alignment horizontal="right" wrapText="1"/>
      <protection locked="0"/>
    </xf>
    <xf numFmtId="0" fontId="9" fillId="0" borderId="7" xfId="3" applyNumberFormat="1" applyFont="1" applyFill="1" applyBorder="1" applyAlignment="1" applyProtection="1">
      <alignment horizontal="left"/>
    </xf>
    <xf numFmtId="0" fontId="9" fillId="0" borderId="7" xfId="3" applyNumberFormat="1" applyFont="1" applyFill="1" applyBorder="1" applyAlignment="1" applyProtection="1">
      <alignment horizontal="left" wrapText="1"/>
    </xf>
    <xf numFmtId="0" fontId="9" fillId="0" borderId="7" xfId="3" applyFont="1" applyFill="1" applyBorder="1" applyAlignment="1" applyProtection="1">
      <alignment horizontal="left" shrinkToFit="1"/>
    </xf>
    <xf numFmtId="4" fontId="9" fillId="0" borderId="7" xfId="3" applyNumberFormat="1" applyFont="1" applyFill="1" applyBorder="1" applyAlignment="1" applyProtection="1">
      <alignment horizontal="right" shrinkToFit="1"/>
    </xf>
    <xf numFmtId="4" fontId="9" fillId="0" borderId="7" xfId="3" applyNumberFormat="1" applyFont="1" applyFill="1" applyBorder="1" applyAlignment="1" applyProtection="1">
      <alignment horizontal="right" shrinkToFit="1"/>
      <protection locked="0"/>
    </xf>
    <xf numFmtId="0" fontId="9" fillId="0" borderId="7" xfId="2" applyNumberFormat="1" applyFont="1" applyFill="1" applyBorder="1" applyAlignment="1" applyProtection="1">
      <alignment horizontal="left" wrapText="1"/>
    </xf>
    <xf numFmtId="168" fontId="9" fillId="0" borderId="7" xfId="2" applyNumberFormat="1" applyFont="1" applyFill="1" applyBorder="1" applyAlignment="1" applyProtection="1">
      <alignment horizontal="right"/>
      <protection locked="0"/>
    </xf>
    <xf numFmtId="0" fontId="6" fillId="0" borderId="0" xfId="2" applyFill="1" applyAlignment="1" applyProtection="1"/>
    <xf numFmtId="2" fontId="20" fillId="0" borderId="7" xfId="2" applyNumberFormat="1" applyFont="1" applyFill="1" applyBorder="1" applyAlignment="1" applyProtection="1">
      <alignment horizontal="right" wrapText="1"/>
      <protection locked="0"/>
    </xf>
    <xf numFmtId="0" fontId="6" fillId="0" borderId="7" xfId="2" applyFill="1" applyBorder="1" applyAlignment="1" applyProtection="1">
      <alignment horizontal="left" vertical="top"/>
      <protection locked="0"/>
    </xf>
    <xf numFmtId="0" fontId="24" fillId="0" borderId="7" xfId="2" applyFont="1" applyFill="1" applyBorder="1" applyAlignment="1" applyProtection="1">
      <alignment horizontal="left" wrapText="1"/>
      <protection locked="0"/>
    </xf>
    <xf numFmtId="0" fontId="9" fillId="0" borderId="7" xfId="6" applyFont="1" applyFill="1" applyBorder="1" applyAlignment="1" applyProtection="1">
      <alignment horizontal="left" wrapText="1"/>
      <protection locked="0"/>
    </xf>
    <xf numFmtId="165" fontId="26" fillId="0" borderId="7" xfId="2" applyNumberFormat="1" applyFont="1" applyFill="1" applyBorder="1" applyAlignment="1" applyProtection="1">
      <alignment horizontal="right"/>
      <protection locked="0"/>
    </xf>
    <xf numFmtId="49" fontId="26" fillId="0" borderId="7" xfId="2" applyNumberFormat="1" applyFont="1" applyFill="1" applyBorder="1" applyAlignment="1" applyProtection="1">
      <alignment horizontal="left" wrapText="1"/>
      <protection locked="0"/>
    </xf>
    <xf numFmtId="0" fontId="26" fillId="0" borderId="7" xfId="2" applyFont="1" applyFill="1" applyBorder="1" applyAlignment="1" applyProtection="1">
      <alignment horizontal="left" wrapText="1"/>
      <protection locked="0"/>
    </xf>
    <xf numFmtId="0" fontId="20" fillId="0" borderId="7" xfId="3" applyFont="1" applyFill="1" applyBorder="1" applyAlignment="1" applyProtection="1">
      <alignment horizontal="left" wrapText="1"/>
      <protection locked="0"/>
    </xf>
    <xf numFmtId="0" fontId="32" fillId="0" borderId="0" xfId="3" applyFont="1" applyFill="1" applyAlignment="1" applyProtection="1">
      <alignment horizontal="left" vertical="center"/>
      <protection locked="0"/>
    </xf>
    <xf numFmtId="49" fontId="9" fillId="0" borderId="7" xfId="8" applyNumberFormat="1" applyFont="1" applyFill="1" applyBorder="1" applyAlignment="1" applyProtection="1">
      <alignment horizontal="left" wrapText="1"/>
      <protection locked="0"/>
    </xf>
    <xf numFmtId="0" fontId="20" fillId="0" borderId="7" xfId="8" applyFont="1" applyFill="1" applyBorder="1" applyAlignment="1">
      <alignment horizontal="left" wrapText="1"/>
      <protection locked="0"/>
    </xf>
    <xf numFmtId="2" fontId="20" fillId="0" borderId="7" xfId="8" applyNumberFormat="1" applyFont="1" applyFill="1" applyBorder="1" applyAlignment="1">
      <alignment horizontal="right"/>
      <protection locked="0"/>
    </xf>
    <xf numFmtId="4" fontId="9" fillId="0" borderId="7" xfId="3" applyNumberFormat="1" applyFont="1" applyFill="1" applyBorder="1" applyAlignment="1" applyProtection="1">
      <alignment shrinkToFit="1"/>
    </xf>
    <xf numFmtId="4" fontId="9" fillId="0" borderId="7" xfId="3" applyNumberFormat="1" applyFont="1" applyFill="1" applyBorder="1" applyAlignment="1" applyProtection="1">
      <alignment shrinkToFit="1"/>
      <protection locked="0"/>
    </xf>
    <xf numFmtId="0" fontId="25" fillId="0" borderId="0" xfId="3" applyFont="1" applyFill="1" applyAlignment="1" applyProtection="1">
      <alignment horizontal="center" vertical="center"/>
      <protection locked="0"/>
    </xf>
    <xf numFmtId="0" fontId="7" fillId="0" borderId="0" xfId="3" applyFill="1" applyAlignment="1" applyProtection="1">
      <alignment horizontal="right" vertical="center"/>
      <protection locked="0"/>
    </xf>
    <xf numFmtId="0" fontId="7" fillId="0" borderId="0" xfId="3" applyNumberFormat="1" applyFill="1" applyAlignment="1" applyProtection="1">
      <alignment horizontal="center" vertical="center"/>
      <protection locked="0"/>
    </xf>
    <xf numFmtId="166" fontId="33" fillId="0" borderId="0" xfId="8" applyNumberFormat="1" applyFont="1" applyFill="1" applyBorder="1" applyAlignment="1">
      <alignment horizontal="left" vertical="center"/>
      <protection locked="0"/>
    </xf>
    <xf numFmtId="0" fontId="20" fillId="0" borderId="7" xfId="8" applyFont="1" applyFill="1" applyBorder="1" applyAlignment="1" applyProtection="1">
      <alignment horizontal="left" wrapText="1"/>
      <protection locked="0"/>
    </xf>
    <xf numFmtId="168" fontId="9" fillId="2" borderId="7" xfId="2" applyNumberFormat="1" applyFont="1" applyFill="1" applyBorder="1" applyAlignment="1" applyProtection="1">
      <alignment horizontal="right"/>
      <protection locked="0"/>
    </xf>
    <xf numFmtId="166" fontId="9" fillId="2" borderId="7" xfId="2" applyNumberFormat="1" applyFont="1" applyFill="1" applyBorder="1" applyAlignment="1" applyProtection="1">
      <alignment horizontal="center"/>
      <protection locked="0"/>
    </xf>
    <xf numFmtId="166" fontId="26" fillId="2" borderId="7" xfId="2" applyNumberFormat="1" applyFont="1" applyFill="1" applyBorder="1" applyAlignment="1" applyProtection="1">
      <alignment horizontal="right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0" fontId="2" fillId="0" borderId="0" xfId="1" applyFill="1" applyAlignment="1">
      <alignment horizontal="left" vertical="center"/>
      <protection locked="0"/>
    </xf>
    <xf numFmtId="165" fontId="20" fillId="0" borderId="7" xfId="2" applyNumberFormat="1" applyFont="1" applyFill="1" applyBorder="1" applyAlignment="1" applyProtection="1">
      <alignment horizontal="right"/>
      <protection locked="0"/>
    </xf>
    <xf numFmtId="2" fontId="20" fillId="3" borderId="7" xfId="2" applyNumberFormat="1" applyFont="1" applyFill="1" applyBorder="1" applyAlignment="1" applyProtection="1">
      <alignment horizontal="right"/>
      <protection locked="0"/>
    </xf>
    <xf numFmtId="166" fontId="20" fillId="0" borderId="7" xfId="2" applyNumberFormat="1" applyFont="1" applyFill="1" applyBorder="1" applyAlignment="1" applyProtection="1">
      <alignment horizontal="right"/>
      <protection locked="0"/>
    </xf>
    <xf numFmtId="166" fontId="20" fillId="4" borderId="7" xfId="2" applyNumberFormat="1" applyFont="1" applyFill="1" applyBorder="1" applyAlignment="1" applyProtection="1">
      <alignment horizontal="right"/>
      <protection locked="0"/>
    </xf>
    <xf numFmtId="0" fontId="7" fillId="0" borderId="7" xfId="2" applyFont="1" applyFill="1" applyBorder="1" applyAlignment="1" applyProtection="1">
      <alignment horizontal="left" vertical="top"/>
      <protection locked="0"/>
    </xf>
    <xf numFmtId="166" fontId="26" fillId="0" borderId="7" xfId="2" applyNumberFormat="1" applyFont="1" applyFill="1" applyBorder="1" applyAlignment="1" applyProtection="1">
      <alignment horizontal="right"/>
      <protection locked="0"/>
    </xf>
    <xf numFmtId="0" fontId="7" fillId="4" borderId="7" xfId="2" applyFont="1" applyFill="1" applyBorder="1" applyAlignment="1" applyProtection="1">
      <alignment horizontal="left" vertical="top"/>
      <protection locked="0"/>
    </xf>
    <xf numFmtId="165" fontId="5" fillId="0" borderId="7" xfId="3" applyNumberFormat="1" applyFont="1" applyFill="1" applyBorder="1" applyAlignment="1" applyProtection="1">
      <alignment horizontal="right"/>
      <protection locked="0"/>
    </xf>
    <xf numFmtId="0" fontId="5" fillId="0" borderId="7" xfId="3" applyFont="1" applyFill="1" applyBorder="1" applyAlignment="1" applyProtection="1">
      <alignment horizontal="left" wrapText="1"/>
      <protection locked="0"/>
    </xf>
    <xf numFmtId="2" fontId="5" fillId="0" borderId="7" xfId="3" applyNumberFormat="1" applyFont="1" applyFill="1" applyBorder="1" applyAlignment="1" applyProtection="1">
      <alignment horizontal="right"/>
      <protection locked="0"/>
    </xf>
    <xf numFmtId="166" fontId="5" fillId="0" borderId="7" xfId="3" applyNumberFormat="1" applyFont="1" applyFill="1" applyBorder="1" applyAlignment="1" applyProtection="1">
      <alignment horizontal="right"/>
      <protection locked="0"/>
    </xf>
    <xf numFmtId="0" fontId="7" fillId="0" borderId="7" xfId="3" applyFill="1" applyBorder="1" applyAlignment="1" applyProtection="1">
      <alignment horizontal="left" vertical="top"/>
      <protection locked="0"/>
    </xf>
    <xf numFmtId="0" fontId="27" fillId="0" borderId="0" xfId="3" applyFont="1" applyFill="1" applyAlignment="1" applyProtection="1">
      <alignment horizontal="left" vertical="center"/>
      <protection locked="0"/>
    </xf>
    <xf numFmtId="2" fontId="7" fillId="0" borderId="0" xfId="3" applyNumberFormat="1" applyFill="1" applyAlignment="1" applyProtection="1">
      <alignment horizontal="left" vertical="top"/>
      <protection locked="0"/>
    </xf>
    <xf numFmtId="166" fontId="9" fillId="0" borderId="7" xfId="6" applyNumberFormat="1" applyFont="1" applyFill="1" applyBorder="1" applyAlignment="1" applyProtection="1">
      <alignment horizontal="center"/>
      <protection locked="0"/>
    </xf>
    <xf numFmtId="0" fontId="20" fillId="0" borderId="7" xfId="2" applyFont="1" applyFill="1" applyBorder="1" applyAlignment="1" applyProtection="1">
      <alignment horizontal="left" vertical="center" wrapText="1"/>
      <protection locked="0"/>
    </xf>
    <xf numFmtId="0" fontId="34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protection locked="0"/>
    </xf>
    <xf numFmtId="166" fontId="34" fillId="0" borderId="7" xfId="3" applyNumberFormat="1" applyFont="1" applyFill="1" applyBorder="1" applyAlignment="1" applyProtection="1">
      <alignment horizontal="right"/>
      <protection locked="0"/>
    </xf>
    <xf numFmtId="166" fontId="34" fillId="0" borderId="7" xfId="3" applyNumberFormat="1" applyFont="1" applyFill="1" applyBorder="1" applyAlignment="1" applyProtection="1">
      <alignment horizontal="center"/>
      <protection locked="0"/>
    </xf>
    <xf numFmtId="167" fontId="5" fillId="0" borderId="7" xfId="3" applyNumberFormat="1" applyFont="1" applyFill="1" applyBorder="1" applyAlignment="1" applyProtection="1">
      <alignment horizontal="right"/>
      <protection locked="0"/>
    </xf>
    <xf numFmtId="2" fontId="5" fillId="0" borderId="7" xfId="2" applyNumberFormat="1" applyFont="1" applyFill="1" applyBorder="1" applyAlignment="1" applyProtection="1">
      <alignment horizontal="right"/>
      <protection locked="0"/>
    </xf>
    <xf numFmtId="165" fontId="26" fillId="0" borderId="7" xfId="3" applyNumberFormat="1" applyFont="1" applyFill="1" applyBorder="1" applyAlignment="1" applyProtection="1">
      <alignment horizontal="right"/>
      <protection locked="0"/>
    </xf>
    <xf numFmtId="0" fontId="26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alignment horizontal="right"/>
      <protection locked="0"/>
    </xf>
    <xf numFmtId="166" fontId="26" fillId="0" borderId="7" xfId="3" applyNumberFormat="1" applyFont="1" applyFill="1" applyBorder="1" applyAlignment="1" applyProtection="1">
      <alignment horizontal="right"/>
      <protection locked="0"/>
    </xf>
    <xf numFmtId="0" fontId="25" fillId="0" borderId="0" xfId="3" applyFont="1" applyFill="1" applyAlignment="1" applyProtection="1">
      <alignment horizontal="left" vertical="center"/>
    </xf>
    <xf numFmtId="166" fontId="9" fillId="0" borderId="7" xfId="9" applyNumberFormat="1" applyFont="1" applyFill="1" applyBorder="1" applyAlignment="1" applyProtection="1">
      <alignment horizontal="center"/>
      <protection locked="0"/>
    </xf>
    <xf numFmtId="169" fontId="9" fillId="0" borderId="7" xfId="2" applyNumberFormat="1" applyFont="1" applyFill="1" applyBorder="1" applyAlignment="1" applyProtection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 wrapText="1"/>
      <protection locked="0"/>
    </xf>
    <xf numFmtId="166" fontId="40" fillId="0" borderId="7" xfId="2" applyNumberFormat="1" applyFont="1" applyFill="1" applyBorder="1" applyAlignment="1" applyProtection="1">
      <alignment horizontal="right"/>
      <protection locked="0"/>
    </xf>
    <xf numFmtId="0" fontId="41" fillId="0" borderId="7" xfId="2" applyFont="1" applyFill="1" applyBorder="1" applyAlignment="1" applyProtection="1">
      <alignment horizontal="left" vertical="top"/>
      <protection locked="0"/>
    </xf>
    <xf numFmtId="0" fontId="9" fillId="0" borderId="7" xfId="2" applyNumberFormat="1" applyFont="1" applyFill="1" applyBorder="1" applyAlignment="1" applyProtection="1">
      <alignment horizontal="left"/>
    </xf>
    <xf numFmtId="0" fontId="9" fillId="0" borderId="7" xfId="2" applyFont="1" applyFill="1" applyBorder="1" applyAlignment="1" applyProtection="1">
      <alignment horizontal="left" shrinkToFit="1"/>
    </xf>
    <xf numFmtId="165" fontId="26" fillId="0" borderId="7" xfId="2" applyNumberFormat="1" applyFont="1" applyFill="1" applyBorder="1" applyAlignment="1">
      <alignment horizontal="right"/>
      <protection locked="0"/>
    </xf>
    <xf numFmtId="0" fontId="26" fillId="0" borderId="7" xfId="2" applyFont="1" applyFill="1" applyBorder="1" applyAlignment="1">
      <alignment horizontal="left" wrapText="1"/>
      <protection locked="0"/>
    </xf>
    <xf numFmtId="166" fontId="26" fillId="0" borderId="7" xfId="2" applyNumberFormat="1" applyFont="1" applyFill="1" applyBorder="1" applyAlignment="1">
      <alignment horizontal="right"/>
      <protection locked="0"/>
    </xf>
    <xf numFmtId="166" fontId="9" fillId="0" borderId="7" xfId="2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 applyProtection="1">
      <alignment horizontal="left"/>
      <protection locked="0"/>
    </xf>
    <xf numFmtId="0" fontId="9" fillId="0" borderId="7" xfId="3" applyFont="1" applyFill="1" applyBorder="1" applyAlignment="1" applyProtection="1">
      <alignment horizontal="left" wrapText="1"/>
    </xf>
    <xf numFmtId="1" fontId="9" fillId="0" borderId="7" xfId="3" applyNumberFormat="1" applyFont="1" applyFill="1" applyBorder="1" applyAlignment="1" applyProtection="1">
      <alignment horizontal="left"/>
    </xf>
    <xf numFmtId="2" fontId="9" fillId="0" borderId="7" xfId="3" applyNumberFormat="1" applyFont="1" applyFill="1" applyBorder="1" applyAlignment="1" applyProtection="1">
      <alignment horizontal="left" wrapText="1"/>
    </xf>
    <xf numFmtId="2" fontId="9" fillId="0" borderId="7" xfId="3" applyNumberFormat="1" applyFont="1" applyFill="1" applyBorder="1" applyAlignment="1" applyProtection="1">
      <alignment horizontal="left" shrinkToFit="1"/>
    </xf>
    <xf numFmtId="2" fontId="9" fillId="0" borderId="7" xfId="3" applyNumberFormat="1" applyFont="1" applyFill="1" applyBorder="1" applyAlignment="1" applyProtection="1">
      <alignment shrinkToFit="1"/>
    </xf>
    <xf numFmtId="166" fontId="9" fillId="0" borderId="7" xfId="3" applyNumberFormat="1" applyFont="1" applyFill="1" applyBorder="1" applyAlignment="1" applyProtection="1">
      <alignment horizontal="right"/>
    </xf>
    <xf numFmtId="166" fontId="9" fillId="0" borderId="7" xfId="3" applyNumberFormat="1" applyFont="1" applyFill="1" applyBorder="1" applyAlignment="1" applyProtection="1">
      <alignment horizontal="center"/>
    </xf>
    <xf numFmtId="165" fontId="9" fillId="0" borderId="7" xfId="3" applyNumberFormat="1" applyFont="1" applyFill="1" applyBorder="1" applyAlignment="1" applyProtection="1">
      <alignment horizontal="right"/>
    </xf>
    <xf numFmtId="166" fontId="42" fillId="0" borderId="0" xfId="3" applyNumberFormat="1" applyFont="1" applyFill="1" applyAlignment="1" applyProtection="1">
      <alignment horizontal="right"/>
      <protection locked="0"/>
    </xf>
    <xf numFmtId="165" fontId="7" fillId="0" borderId="0" xfId="3" applyNumberFormat="1" applyAlignment="1" applyProtection="1">
      <alignment horizontal="right" vertical="top"/>
      <protection locked="0"/>
    </xf>
    <xf numFmtId="0" fontId="7" fillId="0" borderId="0" xfId="3" applyAlignment="1" applyProtection="1">
      <alignment horizontal="left" vertical="top" wrapText="1"/>
      <protection locked="0"/>
    </xf>
    <xf numFmtId="167" fontId="7" fillId="0" borderId="0" xfId="3" applyNumberFormat="1" applyAlignment="1" applyProtection="1">
      <alignment horizontal="right" vertical="top"/>
      <protection locked="0"/>
    </xf>
    <xf numFmtId="166" fontId="7" fillId="0" borderId="0" xfId="3" applyNumberFormat="1" applyFill="1" applyAlignment="1" applyProtection="1">
      <alignment horizontal="right" vertical="top"/>
      <protection locked="0"/>
    </xf>
    <xf numFmtId="166" fontId="7" fillId="0" borderId="0" xfId="3" applyNumberFormat="1" applyAlignment="1" applyProtection="1">
      <alignment horizontal="right" vertical="top"/>
      <protection locked="0"/>
    </xf>
    <xf numFmtId="0" fontId="1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Alignment="1" applyProtection="1">
      <alignment horizontal="left" vertical="top"/>
      <protection locked="0"/>
    </xf>
    <xf numFmtId="0" fontId="5" fillId="0" borderId="10" xfId="3" applyFont="1" applyBorder="1" applyAlignment="1" applyProtection="1">
      <alignment horizontal="left"/>
      <protection locked="0"/>
    </xf>
    <xf numFmtId="0" fontId="26" fillId="0" borderId="11" xfId="3" applyFont="1" applyBorder="1" applyAlignment="1" applyProtection="1">
      <alignment horizontal="center"/>
      <protection locked="0"/>
    </xf>
    <xf numFmtId="167" fontId="26" fillId="0" borderId="11" xfId="3" applyNumberFormat="1" applyFont="1" applyBorder="1" applyAlignment="1" applyProtection="1">
      <alignment horizontal="right"/>
      <protection locked="0"/>
    </xf>
    <xf numFmtId="166" fontId="26" fillId="0" borderId="13" xfId="3" applyNumberFormat="1" applyFont="1" applyFill="1" applyBorder="1" applyAlignment="1" applyProtection="1">
      <alignment horizontal="right"/>
      <protection locked="0"/>
    </xf>
    <xf numFmtId="166" fontId="5" fillId="0" borderId="8" xfId="3" applyNumberFormat="1" applyFont="1" applyBorder="1" applyAlignment="1" applyProtection="1">
      <alignment horizontal="right"/>
      <protection locked="0"/>
    </xf>
    <xf numFmtId="166" fontId="7" fillId="0" borderId="0" xfId="3" applyNumberFormat="1" applyFill="1" applyAlignment="1" applyProtection="1">
      <alignment horizontal="left" vertical="top"/>
      <protection locked="0"/>
    </xf>
    <xf numFmtId="4" fontId="7" fillId="0" borderId="0" xfId="3" applyNumberFormat="1" applyFill="1" applyAlignment="1" applyProtection="1">
      <alignment horizontal="right" vertical="top"/>
      <protection locked="0"/>
    </xf>
    <xf numFmtId="4" fontId="7" fillId="0" borderId="0" xfId="3" applyNumberFormat="1" applyFill="1" applyAlignment="1" applyProtection="1">
      <alignment horizontal="left" vertical="top"/>
      <protection locked="0"/>
    </xf>
    <xf numFmtId="165" fontId="26" fillId="0" borderId="0" xfId="3" applyNumberFormat="1" applyFont="1" applyBorder="1" applyAlignment="1" applyProtection="1">
      <alignment horizontal="right"/>
      <protection locked="0"/>
    </xf>
    <xf numFmtId="0" fontId="26" fillId="0" borderId="0" xfId="3" applyFont="1" applyBorder="1" applyAlignment="1" applyProtection="1">
      <alignment horizontal="left" wrapText="1"/>
      <protection locked="0"/>
    </xf>
    <xf numFmtId="0" fontId="9" fillId="0" borderId="0" xfId="3" applyFont="1" applyBorder="1" applyAlignment="1" applyProtection="1">
      <alignment horizontal="left" wrapText="1"/>
      <protection locked="0"/>
    </xf>
    <xf numFmtId="0" fontId="26" fillId="0" borderId="0" xfId="3" applyFont="1" applyBorder="1" applyAlignment="1" applyProtection="1">
      <alignment horizontal="center" wrapText="1"/>
      <protection locked="0"/>
    </xf>
    <xf numFmtId="167" fontId="26" fillId="0" borderId="0" xfId="3" applyNumberFormat="1" applyFont="1" applyBorder="1" applyAlignment="1" applyProtection="1">
      <alignment horizontal="right"/>
      <protection locked="0"/>
    </xf>
    <xf numFmtId="166" fontId="26" fillId="0" borderId="0" xfId="3" applyNumberFormat="1" applyFont="1" applyFill="1" applyBorder="1" applyAlignment="1" applyProtection="1">
      <alignment horizontal="right"/>
      <protection locked="0"/>
    </xf>
    <xf numFmtId="166" fontId="9" fillId="0" borderId="0" xfId="3" applyNumberFormat="1" applyFont="1" applyBorder="1" applyAlignment="1" applyProtection="1">
      <alignment horizontal="right"/>
      <protection locked="0"/>
    </xf>
    <xf numFmtId="0" fontId="43" fillId="0" borderId="0" xfId="10" applyFont="1" applyAlignment="1">
      <alignment vertical="center"/>
    </xf>
    <xf numFmtId="0" fontId="43" fillId="0" borderId="0" xfId="10" applyFont="1" applyFill="1" applyAlignment="1">
      <alignment vertical="center"/>
    </xf>
    <xf numFmtId="0" fontId="43" fillId="0" borderId="0" xfId="10" applyFont="1" applyAlignment="1">
      <alignment horizontal="center" vertical="center" wrapText="1"/>
    </xf>
    <xf numFmtId="0" fontId="43" fillId="0" borderId="0" xfId="10" applyFont="1" applyBorder="1" applyAlignment="1">
      <alignment horizontal="center" vertical="center" wrapText="1"/>
    </xf>
    <xf numFmtId="0" fontId="7" fillId="0" borderId="0" xfId="3" applyAlignment="1" applyProtection="1">
      <alignment vertical="top"/>
      <protection locked="0"/>
    </xf>
    <xf numFmtId="168" fontId="7" fillId="0" borderId="0" xfId="3" applyNumberFormat="1" applyFill="1" applyAlignment="1" applyProtection="1">
      <alignment vertical="top"/>
      <protection locked="0"/>
    </xf>
    <xf numFmtId="0" fontId="43" fillId="0" borderId="0" xfId="10" applyFont="1" applyFill="1" applyAlignment="1">
      <alignment vertical="center" wrapText="1"/>
    </xf>
    <xf numFmtId="0" fontId="2" fillId="0" borderId="0" xfId="3" applyFont="1" applyFill="1" applyAlignment="1">
      <alignment vertical="center" wrapText="1"/>
      <protection locked="0"/>
    </xf>
    <xf numFmtId="0" fontId="43" fillId="0" borderId="0" xfId="10" applyFont="1" applyFill="1" applyAlignment="1">
      <alignment horizontal="center" vertical="center" wrapText="1"/>
    </xf>
    <xf numFmtId="0" fontId="43" fillId="0" borderId="0" xfId="10" applyFont="1" applyFill="1" applyBorder="1" applyAlignment="1">
      <alignment horizontal="center" vertical="center" wrapText="1"/>
    </xf>
    <xf numFmtId="0" fontId="7" fillId="0" borderId="0" xfId="3" applyFill="1" applyAlignment="1">
      <alignment vertical="top"/>
      <protection locked="0"/>
    </xf>
    <xf numFmtId="0" fontId="7" fillId="0" borderId="0" xfId="3" applyAlignment="1">
      <alignment vertical="top"/>
      <protection locked="0"/>
    </xf>
    <xf numFmtId="167" fontId="2" fillId="0" borderId="0" xfId="1" applyNumberFormat="1" applyFill="1" applyAlignment="1">
      <alignment horizontal="right" vertical="top"/>
      <protection locked="0"/>
    </xf>
    <xf numFmtId="166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166" fontId="9" fillId="0" borderId="7" xfId="5" applyNumberFormat="1" applyFont="1" applyFill="1" applyBorder="1" applyAlignment="1" applyProtection="1">
      <alignment horizontal="center"/>
      <protection locked="0"/>
    </xf>
    <xf numFmtId="2" fontId="20" fillId="0" borderId="7" xfId="3" applyNumberFormat="1" applyFont="1" applyFill="1" applyBorder="1" applyAlignment="1">
      <alignment horizontal="right"/>
      <protection locked="0"/>
    </xf>
    <xf numFmtId="0" fontId="7" fillId="0" borderId="0" xfId="3" applyFont="1" applyFill="1" applyAlignment="1" applyProtection="1">
      <alignment horizontal="left" vertical="top"/>
      <protection locked="0"/>
    </xf>
    <xf numFmtId="0" fontId="7" fillId="0" borderId="7" xfId="3" applyFill="1" applyBorder="1" applyAlignment="1" applyProtection="1">
      <alignment vertical="top"/>
      <protection locked="0"/>
    </xf>
    <xf numFmtId="0" fontId="7" fillId="0" borderId="7" xfId="3" applyFill="1" applyBorder="1" applyAlignment="1" applyProtection="1">
      <alignment horizontal="right" vertical="center"/>
      <protection locked="0"/>
    </xf>
    <xf numFmtId="0" fontId="7" fillId="0" borderId="0" xfId="6" applyFont="1" applyFill="1" applyAlignment="1" applyProtection="1">
      <alignment horizontal="left" vertical="top"/>
      <protection locked="0"/>
    </xf>
    <xf numFmtId="49" fontId="5" fillId="0" borderId="7" xfId="2" applyNumberFormat="1" applyFont="1" applyFill="1" applyBorder="1" applyAlignment="1" applyProtection="1">
      <alignment horizontal="left" wrapText="1"/>
      <protection locked="0"/>
    </xf>
    <xf numFmtId="4" fontId="9" fillId="0" borderId="7" xfId="2" applyNumberFormat="1" applyFont="1" applyFill="1" applyBorder="1" applyAlignment="1" applyProtection="1">
      <alignment shrinkToFit="1"/>
    </xf>
    <xf numFmtId="4" fontId="9" fillId="0" borderId="7" xfId="2" applyNumberFormat="1" applyFont="1" applyFill="1" applyBorder="1" applyAlignment="1" applyProtection="1">
      <alignment shrinkToFit="1"/>
      <protection locked="0"/>
    </xf>
    <xf numFmtId="0" fontId="17" fillId="0" borderId="0" xfId="3" applyFont="1" applyFill="1" applyAlignment="1" applyProtection="1">
      <alignment horizontal="left" vertical="center"/>
      <protection locked="0"/>
    </xf>
    <xf numFmtId="166" fontId="9" fillId="2" borderId="7" xfId="2" applyNumberFormat="1" applyFont="1" applyFill="1" applyBorder="1" applyAlignment="1" applyProtection="1">
      <alignment horizontal="right"/>
      <protection locked="0"/>
    </xf>
    <xf numFmtId="2" fontId="7" fillId="4" borderId="7" xfId="2" applyNumberFormat="1" applyFont="1" applyFill="1" applyBorder="1" applyAlignment="1" applyProtection="1">
      <alignment horizontal="left" vertical="top"/>
      <protection locked="0"/>
    </xf>
    <xf numFmtId="0" fontId="2" fillId="0" borderId="0" xfId="1" applyFill="1" applyAlignment="1">
      <alignment horizontal="right" vertical="center"/>
      <protection locked="0"/>
    </xf>
    <xf numFmtId="0" fontId="6" fillId="2" borderId="7" xfId="2" applyFill="1" applyBorder="1" applyAlignment="1" applyProtection="1">
      <alignment horizontal="left" vertical="top"/>
      <protection locked="0"/>
    </xf>
    <xf numFmtId="2" fontId="7" fillId="0" borderId="7" xfId="2" applyNumberFormat="1" applyFont="1" applyFill="1" applyBorder="1" applyAlignment="1" applyProtection="1">
      <alignment horizontal="left" vertical="top"/>
      <protection locked="0"/>
    </xf>
    <xf numFmtId="0" fontId="6" fillId="0" borderId="0" xfId="2" applyFill="1" applyAlignment="1" applyProtection="1">
      <alignment vertical="top"/>
      <protection locked="0"/>
    </xf>
    <xf numFmtId="165" fontId="24" fillId="0" borderId="7" xfId="6" applyNumberFormat="1" applyFont="1" applyFill="1" applyBorder="1" applyAlignment="1" applyProtection="1">
      <alignment horizontal="right"/>
      <protection locked="0"/>
    </xf>
    <xf numFmtId="49" fontId="26" fillId="0" borderId="7" xfId="6" applyNumberFormat="1" applyFont="1" applyFill="1" applyBorder="1" applyAlignment="1" applyProtection="1">
      <alignment horizontal="left" wrapText="1"/>
      <protection locked="0"/>
    </xf>
    <xf numFmtId="0" fontId="26" fillId="0" borderId="7" xfId="6" applyFont="1" applyFill="1" applyBorder="1" applyAlignment="1" applyProtection="1">
      <alignment horizontal="left" wrapText="1"/>
      <protection locked="0"/>
    </xf>
    <xf numFmtId="0" fontId="24" fillId="0" borderId="7" xfId="6" applyFont="1" applyFill="1" applyBorder="1" applyAlignment="1" applyProtection="1">
      <alignment horizontal="left" wrapText="1"/>
      <protection locked="0"/>
    </xf>
    <xf numFmtId="2" fontId="20" fillId="0" borderId="7" xfId="6" applyNumberFormat="1" applyFont="1" applyFill="1" applyBorder="1" applyAlignment="1" applyProtection="1">
      <alignment horizontal="right" wrapText="1"/>
      <protection locked="0"/>
    </xf>
    <xf numFmtId="2" fontId="20" fillId="3" borderId="7" xfId="6" applyNumberFormat="1" applyFont="1" applyFill="1" applyBorder="1" applyAlignment="1" applyProtection="1">
      <alignment horizontal="right"/>
      <protection locked="0"/>
    </xf>
    <xf numFmtId="166" fontId="20" fillId="0" borderId="7" xfId="6" applyNumberFormat="1" applyFont="1" applyFill="1" applyBorder="1" applyAlignment="1" applyProtection="1">
      <alignment horizontal="right"/>
      <protection locked="0"/>
    </xf>
    <xf numFmtId="0" fontId="48" fillId="0" borderId="7" xfId="6" applyFont="1" applyFill="1" applyBorder="1" applyAlignment="1" applyProtection="1">
      <alignment horizontal="left" vertical="top"/>
      <protection locked="0"/>
    </xf>
    <xf numFmtId="0" fontId="48" fillId="0" borderId="0" xfId="6" applyFont="1" applyFill="1" applyAlignment="1" applyProtection="1">
      <alignment horizontal="left" vertical="top"/>
      <protection locked="0"/>
    </xf>
    <xf numFmtId="0" fontId="48" fillId="0" borderId="0" xfId="6" applyFont="1" applyAlignment="1" applyProtection="1">
      <alignment horizontal="left" vertical="top"/>
      <protection locked="0"/>
    </xf>
    <xf numFmtId="169" fontId="9" fillId="4" borderId="7" xfId="2" applyNumberFormat="1" applyFont="1" applyFill="1" applyBorder="1" applyAlignment="1" applyProtection="1">
      <alignment horizontal="right"/>
      <protection locked="0"/>
    </xf>
    <xf numFmtId="165" fontId="9" fillId="2" borderId="7" xfId="2" applyNumberFormat="1" applyFont="1" applyFill="1" applyBorder="1" applyAlignment="1" applyProtection="1">
      <alignment horizontal="right"/>
      <protection locked="0"/>
    </xf>
    <xf numFmtId="0" fontId="5" fillId="4" borderId="7" xfId="2" applyFont="1" applyFill="1" applyBorder="1" applyAlignment="1" applyProtection="1">
      <alignment horizontal="left" wrapText="1"/>
      <protection locked="0"/>
    </xf>
    <xf numFmtId="0" fontId="9" fillId="2" borderId="7" xfId="2" applyFont="1" applyFill="1" applyBorder="1" applyAlignment="1" applyProtection="1">
      <alignment horizontal="left" wrapText="1"/>
      <protection locked="0"/>
    </xf>
    <xf numFmtId="166" fontId="40" fillId="4" borderId="7" xfId="2" applyNumberFormat="1" applyFont="1" applyFill="1" applyBorder="1" applyAlignment="1" applyProtection="1">
      <alignment horizontal="right"/>
      <protection locked="0"/>
    </xf>
    <xf numFmtId="166" fontId="5" fillId="2" borderId="7" xfId="2" applyNumberFormat="1" applyFont="1" applyFill="1" applyBorder="1" applyAlignment="1" applyProtection="1">
      <alignment horizontal="right"/>
      <protection locked="0"/>
    </xf>
    <xf numFmtId="0" fontId="41" fillId="4" borderId="7" xfId="2" applyFont="1" applyFill="1" applyBorder="1" applyAlignment="1" applyProtection="1">
      <alignment horizontal="left" vertical="top"/>
      <protection locked="0"/>
    </xf>
    <xf numFmtId="0" fontId="41" fillId="0" borderId="0" xfId="2" applyFont="1" applyFill="1" applyAlignment="1" applyProtection="1">
      <alignment horizontal="left" vertical="top"/>
      <protection locked="0"/>
    </xf>
    <xf numFmtId="165" fontId="5" fillId="0" borderId="7" xfId="6" applyNumberFormat="1" applyFont="1" applyFill="1" applyBorder="1" applyAlignment="1" applyProtection="1">
      <alignment horizontal="right"/>
      <protection locked="0"/>
    </xf>
    <xf numFmtId="0" fontId="5" fillId="0" borderId="7" xfId="6" applyFont="1" applyFill="1" applyBorder="1" applyAlignment="1" applyProtection="1">
      <alignment horizontal="left" wrapText="1"/>
      <protection locked="0"/>
    </xf>
    <xf numFmtId="2" fontId="5" fillId="0" borderId="7" xfId="6" applyNumberFormat="1" applyFont="1" applyFill="1" applyBorder="1" applyAlignment="1" applyProtection="1">
      <alignment horizontal="right"/>
      <protection locked="0"/>
    </xf>
    <xf numFmtId="166" fontId="5" fillId="0" borderId="7" xfId="6" applyNumberFormat="1" applyFont="1" applyFill="1" applyBorder="1" applyAlignment="1" applyProtection="1">
      <alignment horizontal="right"/>
      <protection locked="0"/>
    </xf>
    <xf numFmtId="0" fontId="7" fillId="0" borderId="7" xfId="6" applyFont="1" applyFill="1" applyBorder="1" applyAlignment="1" applyProtection="1">
      <alignment horizontal="left" vertical="top"/>
      <protection locked="0"/>
    </xf>
    <xf numFmtId="0" fontId="7" fillId="0" borderId="0" xfId="6" applyFont="1" applyFill="1" applyAlignment="1" applyProtection="1"/>
    <xf numFmtId="0" fontId="7" fillId="0" borderId="0" xfId="6" applyFont="1" applyAlignment="1" applyProtection="1"/>
    <xf numFmtId="0" fontId="49" fillId="0" borderId="7" xfId="2" applyNumberFormat="1" applyFont="1" applyFill="1" applyBorder="1" applyAlignment="1" applyProtection="1">
      <alignment horizontal="left"/>
    </xf>
    <xf numFmtId="0" fontId="24" fillId="0" borderId="7" xfId="2" applyNumberFormat="1" applyFont="1" applyFill="1" applyBorder="1" applyAlignment="1" applyProtection="1">
      <alignment horizontal="left" wrapText="1"/>
    </xf>
    <xf numFmtId="2" fontId="20" fillId="0" borderId="7" xfId="2" applyNumberFormat="1" applyFont="1" applyFill="1" applyBorder="1" applyAlignment="1">
      <alignment horizontal="right"/>
      <protection locked="0"/>
    </xf>
    <xf numFmtId="4" fontId="49" fillId="0" borderId="7" xfId="2" applyNumberFormat="1" applyFont="1" applyFill="1" applyBorder="1" applyAlignment="1" applyProtection="1">
      <alignment shrinkToFit="1"/>
      <protection locked="0"/>
    </xf>
    <xf numFmtId="165" fontId="9" fillId="0" borderId="7" xfId="6" applyNumberFormat="1" applyFont="1" applyFill="1" applyBorder="1" applyAlignment="1" applyProtection="1">
      <alignment horizontal="right"/>
      <protection locked="0"/>
    </xf>
    <xf numFmtId="4" fontId="9" fillId="0" borderId="7" xfId="6" applyNumberFormat="1" applyFont="1" applyFill="1" applyBorder="1" applyAlignment="1" applyProtection="1">
      <alignment shrinkToFit="1"/>
    </xf>
    <xf numFmtId="166" fontId="9" fillId="0" borderId="7" xfId="6" applyNumberFormat="1" applyFont="1" applyFill="1" applyBorder="1" applyAlignment="1" applyProtection="1">
      <alignment horizontal="right"/>
      <protection locked="0"/>
    </xf>
    <xf numFmtId="0" fontId="20" fillId="0" borderId="7" xfId="6" applyFont="1" applyFill="1" applyBorder="1" applyAlignment="1" applyProtection="1">
      <alignment horizontal="left" wrapText="1"/>
      <protection locked="0"/>
    </xf>
    <xf numFmtId="2" fontId="20" fillId="0" borderId="7" xfId="6" applyNumberFormat="1" applyFont="1" applyFill="1" applyBorder="1" applyAlignment="1" applyProtection="1">
      <alignment horizontal="right"/>
      <protection locked="0"/>
    </xf>
    <xf numFmtId="0" fontId="2" fillId="0" borderId="0" xfId="6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2" fontId="27" fillId="0" borderId="0" xfId="0" applyNumberFormat="1" applyFont="1" applyFill="1" applyAlignment="1" applyProtection="1">
      <alignment horizontal="left" vertical="center"/>
      <protection locked="0"/>
    </xf>
    <xf numFmtId="0" fontId="1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45" fillId="0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46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4" fontId="29" fillId="0" borderId="0" xfId="0" applyNumberFormat="1" applyFont="1" applyFill="1" applyAlignment="1" applyProtection="1">
      <alignment horizontal="left" vertical="center"/>
      <protection locked="0"/>
    </xf>
    <xf numFmtId="0" fontId="30" fillId="0" borderId="0" xfId="0" applyFont="1" applyFill="1" applyAlignment="1" applyProtection="1">
      <alignment horizontal="left" vertical="top"/>
      <protection locked="0"/>
    </xf>
    <xf numFmtId="0" fontId="25" fillId="0" borderId="0" xfId="0" applyFont="1" applyFill="1" applyAlignment="1" applyProtection="1">
      <alignment horizontal="left" vertical="center"/>
      <protection locked="0"/>
    </xf>
    <xf numFmtId="0" fontId="32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47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top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47" fillId="0" borderId="0" xfId="0" applyNumberFormat="1" applyFont="1" applyFill="1" applyAlignment="1" applyProtection="1">
      <alignment vertical="center"/>
      <protection locked="0"/>
    </xf>
    <xf numFmtId="2" fontId="0" fillId="0" borderId="0" xfId="0" applyNumberForma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top"/>
      <protection locked="0"/>
    </xf>
    <xf numFmtId="0" fontId="35" fillId="0" borderId="0" xfId="0" applyFont="1" applyFill="1" applyAlignment="1" applyProtection="1">
      <alignment vertical="center"/>
      <protection locked="0"/>
    </xf>
    <xf numFmtId="0" fontId="36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8" fontId="37" fillId="0" borderId="0" xfId="0" applyNumberFormat="1" applyFont="1" applyFill="1" applyAlignment="1" applyProtection="1">
      <alignment vertical="center"/>
      <protection locked="0"/>
    </xf>
    <xf numFmtId="0" fontId="38" fillId="0" borderId="0" xfId="0" applyFont="1" applyFill="1" applyAlignment="1" applyProtection="1">
      <alignment horizontal="right" vertical="center"/>
      <protection locked="0"/>
    </xf>
    <xf numFmtId="0" fontId="41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9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29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25" fillId="0" borderId="0" xfId="0" applyFont="1" applyFill="1" applyAlignment="1" applyProtection="1">
      <alignment vertical="center"/>
      <protection locked="0"/>
    </xf>
    <xf numFmtId="2" fontId="16" fillId="0" borderId="0" xfId="0" applyNumberFormat="1" applyFont="1" applyFill="1" applyAlignment="1" applyProtection="1">
      <alignment vertical="center"/>
      <protection locked="0"/>
    </xf>
    <xf numFmtId="0" fontId="50" fillId="0" borderId="0" xfId="0" applyFont="1" applyFill="1" applyAlignment="1" applyProtection="1">
      <alignment vertical="center"/>
    </xf>
    <xf numFmtId="0" fontId="51" fillId="0" borderId="0" xfId="0" applyFont="1" applyFill="1" applyAlignment="1" applyProtection="1">
      <alignment horizontal="left" vertical="top"/>
      <protection locked="0"/>
    </xf>
    <xf numFmtId="0" fontId="52" fillId="0" borderId="0" xfId="0" applyFont="1" applyFill="1" applyAlignment="1" applyProtection="1">
      <alignment vertical="center"/>
    </xf>
    <xf numFmtId="0" fontId="51" fillId="0" borderId="0" xfId="0" applyFont="1" applyFill="1" applyAlignment="1" applyProtection="1">
      <alignment horizontal="left" vertical="center"/>
      <protection locked="0"/>
    </xf>
    <xf numFmtId="165" fontId="42" fillId="0" borderId="0" xfId="3" applyNumberFormat="1" applyFont="1" applyFill="1" applyAlignment="1" applyProtection="1">
      <alignment horizontal="right"/>
      <protection locked="0"/>
    </xf>
    <xf numFmtId="0" fontId="42" fillId="0" borderId="0" xfId="3" applyFont="1" applyFill="1" applyAlignment="1" applyProtection="1">
      <alignment horizontal="left" wrapText="1"/>
      <protection locked="0"/>
    </xf>
    <xf numFmtId="167" fontId="42" fillId="0" borderId="0" xfId="3" applyNumberFormat="1" applyFont="1" applyFill="1" applyAlignment="1" applyProtection="1">
      <alignment horizontal="right"/>
      <protection locked="0"/>
    </xf>
    <xf numFmtId="0" fontId="54" fillId="0" borderId="0" xfId="3" applyFont="1" applyFill="1" applyAlignment="1" applyProtection="1">
      <alignment horizontal="left" vertical="center"/>
      <protection locked="0"/>
    </xf>
    <xf numFmtId="0" fontId="20" fillId="0" borderId="14" xfId="6" applyFont="1" applyFill="1" applyBorder="1" applyAlignment="1" applyProtection="1">
      <alignment horizontal="left" vertical="center" wrapText="1"/>
      <protection locked="0"/>
    </xf>
    <xf numFmtId="166" fontId="55" fillId="0" borderId="7" xfId="2" applyNumberFormat="1" applyFont="1" applyFill="1" applyBorder="1" applyAlignment="1" applyProtection="1">
      <alignment horizontal="right" vertical="center"/>
      <protection locked="0"/>
    </xf>
    <xf numFmtId="0" fontId="57" fillId="0" borderId="0" xfId="0" applyFont="1" applyFill="1" applyAlignment="1" applyProtection="1">
      <alignment horizontal="left" vertical="center"/>
      <protection locked="0"/>
    </xf>
    <xf numFmtId="0" fontId="53" fillId="0" borderId="0" xfId="6" applyFont="1" applyFill="1" applyAlignment="1" applyProtection="1">
      <alignment horizontal="left" vertical="center"/>
      <protection locked="0"/>
    </xf>
    <xf numFmtId="0" fontId="54" fillId="0" borderId="0" xfId="6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vertical="top"/>
      <protection locked="0"/>
    </xf>
    <xf numFmtId="2" fontId="7" fillId="0" borderId="0" xfId="6" applyNumberFormat="1" applyFont="1" applyFill="1" applyAlignment="1" applyProtection="1">
      <alignment horizontal="left" vertical="top"/>
      <protection locked="0"/>
    </xf>
    <xf numFmtId="165" fontId="9" fillId="0" borderId="7" xfId="0" applyNumberFormat="1" applyFont="1" applyFill="1" applyBorder="1" applyAlignment="1" applyProtection="1">
      <alignment horizontal="right"/>
      <protection locked="0"/>
    </xf>
    <xf numFmtId="49" fontId="9" fillId="0" borderId="7" xfId="0" applyNumberFormat="1" applyFont="1" applyFill="1" applyBorder="1" applyAlignment="1" applyProtection="1">
      <alignment horizontal="left" wrapText="1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2" fontId="9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right"/>
      <protection locked="0"/>
    </xf>
    <xf numFmtId="0" fontId="20" fillId="0" borderId="7" xfId="0" applyFont="1" applyFill="1" applyBorder="1" applyAlignment="1" applyProtection="1">
      <alignment horizontal="left" wrapText="1"/>
      <protection locked="0"/>
    </xf>
    <xf numFmtId="2" fontId="20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vertical="top"/>
      <protection locked="0"/>
    </xf>
    <xf numFmtId="0" fontId="32" fillId="0" borderId="0" xfId="3" applyFont="1" applyFill="1" applyAlignment="1" applyProtection="1">
      <alignment vertical="center"/>
      <protection locked="0"/>
    </xf>
    <xf numFmtId="0" fontId="44" fillId="0" borderId="0" xfId="3" applyFont="1" applyFill="1" applyAlignment="1" applyProtection="1">
      <alignment vertical="top"/>
      <protection locked="0"/>
    </xf>
    <xf numFmtId="0" fontId="25" fillId="0" borderId="0" xfId="3" applyFont="1" applyFill="1" applyAlignment="1" applyProtection="1">
      <alignment vertical="center"/>
      <protection locked="0"/>
    </xf>
    <xf numFmtId="0" fontId="25" fillId="0" borderId="0" xfId="0" applyFont="1" applyFill="1" applyAlignment="1" applyProtection="1">
      <alignment horizontal="left" vertical="top"/>
      <protection locked="0"/>
    </xf>
    <xf numFmtId="0" fontId="44" fillId="0" borderId="0" xfId="0" applyFont="1" applyFill="1" applyAlignment="1" applyProtection="1">
      <alignment horizontal="left" vertical="top"/>
      <protection locked="0"/>
    </xf>
    <xf numFmtId="0" fontId="56" fillId="0" borderId="0" xfId="0" applyFont="1" applyFill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horizontal="right" vertical="center"/>
      <protection locked="0"/>
    </xf>
    <xf numFmtId="0" fontId="47" fillId="0" borderId="0" xfId="0" applyFont="1" applyFill="1" applyAlignment="1" applyProtection="1">
      <alignment horizontal="left" vertical="center"/>
      <protection locked="0"/>
    </xf>
    <xf numFmtId="2" fontId="39" fillId="0" borderId="0" xfId="0" applyNumberFormat="1" applyFont="1" applyFill="1" applyAlignment="1" applyProtection="1">
      <alignment horizontal="left" vertical="center"/>
      <protection locked="0"/>
    </xf>
    <xf numFmtId="0" fontId="54" fillId="0" borderId="0" xfId="0" applyFont="1" applyFill="1" applyAlignment="1" applyProtection="1">
      <alignment horizontal="left" vertical="center"/>
      <protection locked="0"/>
    </xf>
    <xf numFmtId="0" fontId="58" fillId="0" borderId="0" xfId="0" applyFont="1" applyFill="1" applyAlignment="1" applyProtection="1">
      <alignment horizontal="left" vertical="center"/>
      <protection locked="0"/>
    </xf>
    <xf numFmtId="165" fontId="9" fillId="0" borderId="7" xfId="9" applyNumberFormat="1" applyFont="1" applyFill="1" applyBorder="1" applyAlignment="1" applyProtection="1">
      <alignment horizontal="right"/>
      <protection locked="0"/>
    </xf>
    <xf numFmtId="49" fontId="9" fillId="0" borderId="7" xfId="9" applyNumberFormat="1" applyFont="1" applyFill="1" applyBorder="1" applyAlignment="1" applyProtection="1">
      <alignment horizontal="left" wrapText="1"/>
      <protection locked="0"/>
    </xf>
    <xf numFmtId="0" fontId="9" fillId="0" borderId="7" xfId="9" applyFont="1" applyFill="1" applyBorder="1" applyAlignment="1" applyProtection="1">
      <alignment horizontal="left" wrapText="1"/>
      <protection locked="0"/>
    </xf>
    <xf numFmtId="2" fontId="9" fillId="0" borderId="7" xfId="9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right"/>
      <protection locked="0"/>
    </xf>
    <xf numFmtId="165" fontId="5" fillId="0" borderId="7" xfId="0" applyNumberFormat="1" applyFont="1" applyFill="1" applyBorder="1" applyAlignment="1" applyProtection="1">
      <alignment horizontal="right"/>
      <protection locked="0"/>
    </xf>
    <xf numFmtId="0" fontId="5" fillId="0" borderId="7" xfId="0" applyFont="1" applyFill="1" applyBorder="1" applyAlignment="1" applyProtection="1">
      <alignment horizontal="left" wrapText="1"/>
      <protection locked="0"/>
    </xf>
    <xf numFmtId="2" fontId="24" fillId="0" borderId="7" xfId="9" applyNumberFormat="1" applyFont="1" applyFill="1" applyBorder="1" applyAlignment="1" applyProtection="1">
      <alignment horizontal="right" wrapText="1"/>
      <protection locked="0"/>
    </xf>
    <xf numFmtId="166" fontId="5" fillId="0" borderId="7" xfId="0" applyNumberFormat="1" applyFont="1" applyFill="1" applyBorder="1" applyAlignment="1" applyProtection="1">
      <alignment horizontal="right"/>
      <protection locked="0"/>
    </xf>
    <xf numFmtId="0" fontId="24" fillId="0" borderId="7" xfId="9" applyFont="1" applyFill="1" applyBorder="1" applyAlignment="1">
      <alignment horizontal="left" wrapText="1"/>
      <protection locked="0"/>
    </xf>
    <xf numFmtId="8" fontId="0" fillId="0" borderId="0" xfId="0" applyNumberFormat="1" applyFill="1" applyAlignment="1" applyProtection="1">
      <alignment horizontal="left" vertical="top"/>
      <protection locked="0"/>
    </xf>
    <xf numFmtId="0" fontId="56" fillId="0" borderId="0" xfId="0" applyFont="1" applyFill="1" applyAlignment="1" applyProtection="1">
      <alignment horizontal="left" vertical="top"/>
      <protection locked="0"/>
    </xf>
    <xf numFmtId="0" fontId="7" fillId="0" borderId="0" xfId="7" applyFont="1" applyFill="1" applyAlignment="1" applyProtection="1">
      <alignment horizontal="left" vertical="top"/>
      <protection locked="0"/>
    </xf>
    <xf numFmtId="0" fontId="59" fillId="0" borderId="0" xfId="7" applyFont="1" applyFill="1" applyAlignment="1" applyProtection="1">
      <alignment horizontal="left" vertical="center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3" applyFill="1" applyAlignment="1" applyProtection="1">
      <alignment horizontal="left" wrapText="1"/>
      <protection locked="0"/>
    </xf>
    <xf numFmtId="0" fontId="43" fillId="0" borderId="0" xfId="10" applyFont="1" applyFill="1" applyAlignment="1">
      <alignment vertical="center" wrapText="1"/>
    </xf>
    <xf numFmtId="0" fontId="2" fillId="0" borderId="0" xfId="3" applyFont="1" applyFill="1" applyAlignment="1" applyProtection="1">
      <alignment vertical="center" wrapText="1"/>
      <protection locked="0"/>
    </xf>
    <xf numFmtId="165" fontId="5" fillId="0" borderId="10" xfId="3" applyNumberFormat="1" applyFont="1" applyBorder="1" applyAlignment="1" applyProtection="1">
      <alignment horizontal="center"/>
      <protection locked="0"/>
    </xf>
    <xf numFmtId="0" fontId="8" fillId="0" borderId="11" xfId="3" applyFont="1" applyBorder="1" applyAlignment="1" applyProtection="1">
      <alignment horizontal="center"/>
      <protection locked="0"/>
    </xf>
    <xf numFmtId="0" fontId="8" fillId="0" borderId="12" xfId="3" applyFont="1" applyBorder="1" applyAlignment="1" applyProtection="1">
      <alignment horizontal="center"/>
      <protection locked="0"/>
    </xf>
    <xf numFmtId="0" fontId="7" fillId="0" borderId="0" xfId="3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1">
    <cellStyle name="Hypertextový odkaz" xfId="4" builtinId="8"/>
    <cellStyle name="Normální" xfId="0" builtinId="0"/>
    <cellStyle name="Normální 12 2" xfId="5"/>
    <cellStyle name="normální 13" xfId="3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0"/>
  <sheetViews>
    <sheetView tabSelected="1" workbookViewId="0"/>
  </sheetViews>
  <sheetFormatPr defaultRowHeight="10.5"/>
  <cols>
    <col min="1" max="1" width="11.7109375" style="4" customWidth="1"/>
    <col min="2" max="2" width="53.7109375" style="4" customWidth="1"/>
    <col min="3" max="3" width="15.7109375" style="4" customWidth="1"/>
    <col min="4" max="256" width="9.140625" style="4"/>
    <col min="257" max="257" width="11.7109375" style="4" customWidth="1"/>
    <col min="258" max="258" width="53.7109375" style="4" customWidth="1"/>
    <col min="259" max="259" width="15.7109375" style="4" customWidth="1"/>
    <col min="260" max="512" width="9.140625" style="4"/>
    <col min="513" max="513" width="11.7109375" style="4" customWidth="1"/>
    <col min="514" max="514" width="53.7109375" style="4" customWidth="1"/>
    <col min="515" max="515" width="15.7109375" style="4" customWidth="1"/>
    <col min="516" max="768" width="9.140625" style="4"/>
    <col min="769" max="769" width="11.7109375" style="4" customWidth="1"/>
    <col min="770" max="770" width="53.7109375" style="4" customWidth="1"/>
    <col min="771" max="771" width="15.7109375" style="4" customWidth="1"/>
    <col min="772" max="1024" width="9.140625" style="4"/>
    <col min="1025" max="1025" width="11.7109375" style="4" customWidth="1"/>
    <col min="1026" max="1026" width="53.7109375" style="4" customWidth="1"/>
    <col min="1027" max="1027" width="15.7109375" style="4" customWidth="1"/>
    <col min="1028" max="1280" width="9.140625" style="4"/>
    <col min="1281" max="1281" width="11.7109375" style="4" customWidth="1"/>
    <col min="1282" max="1282" width="53.7109375" style="4" customWidth="1"/>
    <col min="1283" max="1283" width="15.7109375" style="4" customWidth="1"/>
    <col min="1284" max="1536" width="9.140625" style="4"/>
    <col min="1537" max="1537" width="11.7109375" style="4" customWidth="1"/>
    <col min="1538" max="1538" width="53.7109375" style="4" customWidth="1"/>
    <col min="1539" max="1539" width="15.7109375" style="4" customWidth="1"/>
    <col min="1540" max="1792" width="9.140625" style="4"/>
    <col min="1793" max="1793" width="11.7109375" style="4" customWidth="1"/>
    <col min="1794" max="1794" width="53.7109375" style="4" customWidth="1"/>
    <col min="1795" max="1795" width="15.7109375" style="4" customWidth="1"/>
    <col min="1796" max="2048" width="9.140625" style="4"/>
    <col min="2049" max="2049" width="11.7109375" style="4" customWidth="1"/>
    <col min="2050" max="2050" width="53.7109375" style="4" customWidth="1"/>
    <col min="2051" max="2051" width="15.7109375" style="4" customWidth="1"/>
    <col min="2052" max="2304" width="9.140625" style="4"/>
    <col min="2305" max="2305" width="11.7109375" style="4" customWidth="1"/>
    <col min="2306" max="2306" width="53.7109375" style="4" customWidth="1"/>
    <col min="2307" max="2307" width="15.7109375" style="4" customWidth="1"/>
    <col min="2308" max="2560" width="9.140625" style="4"/>
    <col min="2561" max="2561" width="11.7109375" style="4" customWidth="1"/>
    <col min="2562" max="2562" width="53.7109375" style="4" customWidth="1"/>
    <col min="2563" max="2563" width="15.7109375" style="4" customWidth="1"/>
    <col min="2564" max="2816" width="9.140625" style="4"/>
    <col min="2817" max="2817" width="11.7109375" style="4" customWidth="1"/>
    <col min="2818" max="2818" width="53.7109375" style="4" customWidth="1"/>
    <col min="2819" max="2819" width="15.7109375" style="4" customWidth="1"/>
    <col min="2820" max="3072" width="9.140625" style="4"/>
    <col min="3073" max="3073" width="11.7109375" style="4" customWidth="1"/>
    <col min="3074" max="3074" width="53.7109375" style="4" customWidth="1"/>
    <col min="3075" max="3075" width="15.7109375" style="4" customWidth="1"/>
    <col min="3076" max="3328" width="9.140625" style="4"/>
    <col min="3329" max="3329" width="11.7109375" style="4" customWidth="1"/>
    <col min="3330" max="3330" width="53.7109375" style="4" customWidth="1"/>
    <col min="3331" max="3331" width="15.7109375" style="4" customWidth="1"/>
    <col min="3332" max="3584" width="9.140625" style="4"/>
    <col min="3585" max="3585" width="11.7109375" style="4" customWidth="1"/>
    <col min="3586" max="3586" width="53.7109375" style="4" customWidth="1"/>
    <col min="3587" max="3587" width="15.7109375" style="4" customWidth="1"/>
    <col min="3588" max="3840" width="9.140625" style="4"/>
    <col min="3841" max="3841" width="11.7109375" style="4" customWidth="1"/>
    <col min="3842" max="3842" width="53.7109375" style="4" customWidth="1"/>
    <col min="3843" max="3843" width="15.7109375" style="4" customWidth="1"/>
    <col min="3844" max="4096" width="9.140625" style="4"/>
    <col min="4097" max="4097" width="11.7109375" style="4" customWidth="1"/>
    <col min="4098" max="4098" width="53.7109375" style="4" customWidth="1"/>
    <col min="4099" max="4099" width="15.7109375" style="4" customWidth="1"/>
    <col min="4100" max="4352" width="9.140625" style="4"/>
    <col min="4353" max="4353" width="11.7109375" style="4" customWidth="1"/>
    <col min="4354" max="4354" width="53.7109375" style="4" customWidth="1"/>
    <col min="4355" max="4355" width="15.7109375" style="4" customWidth="1"/>
    <col min="4356" max="4608" width="9.140625" style="4"/>
    <col min="4609" max="4609" width="11.7109375" style="4" customWidth="1"/>
    <col min="4610" max="4610" width="53.7109375" style="4" customWidth="1"/>
    <col min="4611" max="4611" width="15.7109375" style="4" customWidth="1"/>
    <col min="4612" max="4864" width="9.140625" style="4"/>
    <col min="4865" max="4865" width="11.7109375" style="4" customWidth="1"/>
    <col min="4866" max="4866" width="53.7109375" style="4" customWidth="1"/>
    <col min="4867" max="4867" width="15.7109375" style="4" customWidth="1"/>
    <col min="4868" max="5120" width="9.140625" style="4"/>
    <col min="5121" max="5121" width="11.7109375" style="4" customWidth="1"/>
    <col min="5122" max="5122" width="53.7109375" style="4" customWidth="1"/>
    <col min="5123" max="5123" width="15.7109375" style="4" customWidth="1"/>
    <col min="5124" max="5376" width="9.140625" style="4"/>
    <col min="5377" max="5377" width="11.7109375" style="4" customWidth="1"/>
    <col min="5378" max="5378" width="53.7109375" style="4" customWidth="1"/>
    <col min="5379" max="5379" width="15.7109375" style="4" customWidth="1"/>
    <col min="5380" max="5632" width="9.140625" style="4"/>
    <col min="5633" max="5633" width="11.7109375" style="4" customWidth="1"/>
    <col min="5634" max="5634" width="53.7109375" style="4" customWidth="1"/>
    <col min="5635" max="5635" width="15.7109375" style="4" customWidth="1"/>
    <col min="5636" max="5888" width="9.140625" style="4"/>
    <col min="5889" max="5889" width="11.7109375" style="4" customWidth="1"/>
    <col min="5890" max="5890" width="53.7109375" style="4" customWidth="1"/>
    <col min="5891" max="5891" width="15.7109375" style="4" customWidth="1"/>
    <col min="5892" max="6144" width="9.140625" style="4"/>
    <col min="6145" max="6145" width="11.7109375" style="4" customWidth="1"/>
    <col min="6146" max="6146" width="53.7109375" style="4" customWidth="1"/>
    <col min="6147" max="6147" width="15.7109375" style="4" customWidth="1"/>
    <col min="6148" max="6400" width="9.140625" style="4"/>
    <col min="6401" max="6401" width="11.7109375" style="4" customWidth="1"/>
    <col min="6402" max="6402" width="53.7109375" style="4" customWidth="1"/>
    <col min="6403" max="6403" width="15.7109375" style="4" customWidth="1"/>
    <col min="6404" max="6656" width="9.140625" style="4"/>
    <col min="6657" max="6657" width="11.7109375" style="4" customWidth="1"/>
    <col min="6658" max="6658" width="53.7109375" style="4" customWidth="1"/>
    <col min="6659" max="6659" width="15.7109375" style="4" customWidth="1"/>
    <col min="6660" max="6912" width="9.140625" style="4"/>
    <col min="6913" max="6913" width="11.7109375" style="4" customWidth="1"/>
    <col min="6914" max="6914" width="53.7109375" style="4" customWidth="1"/>
    <col min="6915" max="6915" width="15.7109375" style="4" customWidth="1"/>
    <col min="6916" max="7168" width="9.140625" style="4"/>
    <col min="7169" max="7169" width="11.7109375" style="4" customWidth="1"/>
    <col min="7170" max="7170" width="53.7109375" style="4" customWidth="1"/>
    <col min="7171" max="7171" width="15.7109375" style="4" customWidth="1"/>
    <col min="7172" max="7424" width="9.140625" style="4"/>
    <col min="7425" max="7425" width="11.7109375" style="4" customWidth="1"/>
    <col min="7426" max="7426" width="53.7109375" style="4" customWidth="1"/>
    <col min="7427" max="7427" width="15.7109375" style="4" customWidth="1"/>
    <col min="7428" max="7680" width="9.140625" style="4"/>
    <col min="7681" max="7681" width="11.7109375" style="4" customWidth="1"/>
    <col min="7682" max="7682" width="53.7109375" style="4" customWidth="1"/>
    <col min="7683" max="7683" width="15.7109375" style="4" customWidth="1"/>
    <col min="7684" max="7936" width="9.140625" style="4"/>
    <col min="7937" max="7937" width="11.7109375" style="4" customWidth="1"/>
    <col min="7938" max="7938" width="53.7109375" style="4" customWidth="1"/>
    <col min="7939" max="7939" width="15.7109375" style="4" customWidth="1"/>
    <col min="7940" max="8192" width="9.140625" style="4"/>
    <col min="8193" max="8193" width="11.7109375" style="4" customWidth="1"/>
    <col min="8194" max="8194" width="53.7109375" style="4" customWidth="1"/>
    <col min="8195" max="8195" width="15.7109375" style="4" customWidth="1"/>
    <col min="8196" max="8448" width="9.140625" style="4"/>
    <col min="8449" max="8449" width="11.7109375" style="4" customWidth="1"/>
    <col min="8450" max="8450" width="53.7109375" style="4" customWidth="1"/>
    <col min="8451" max="8451" width="15.7109375" style="4" customWidth="1"/>
    <col min="8452" max="8704" width="9.140625" style="4"/>
    <col min="8705" max="8705" width="11.7109375" style="4" customWidth="1"/>
    <col min="8706" max="8706" width="53.7109375" style="4" customWidth="1"/>
    <col min="8707" max="8707" width="15.7109375" style="4" customWidth="1"/>
    <col min="8708" max="8960" width="9.140625" style="4"/>
    <col min="8961" max="8961" width="11.7109375" style="4" customWidth="1"/>
    <col min="8962" max="8962" width="53.7109375" style="4" customWidth="1"/>
    <col min="8963" max="8963" width="15.7109375" style="4" customWidth="1"/>
    <col min="8964" max="9216" width="9.140625" style="4"/>
    <col min="9217" max="9217" width="11.7109375" style="4" customWidth="1"/>
    <col min="9218" max="9218" width="53.7109375" style="4" customWidth="1"/>
    <col min="9219" max="9219" width="15.7109375" style="4" customWidth="1"/>
    <col min="9220" max="9472" width="9.140625" style="4"/>
    <col min="9473" max="9473" width="11.7109375" style="4" customWidth="1"/>
    <col min="9474" max="9474" width="53.7109375" style="4" customWidth="1"/>
    <col min="9475" max="9475" width="15.7109375" style="4" customWidth="1"/>
    <col min="9476" max="9728" width="9.140625" style="4"/>
    <col min="9729" max="9729" width="11.7109375" style="4" customWidth="1"/>
    <col min="9730" max="9730" width="53.7109375" style="4" customWidth="1"/>
    <col min="9731" max="9731" width="15.7109375" style="4" customWidth="1"/>
    <col min="9732" max="9984" width="9.140625" style="4"/>
    <col min="9985" max="9985" width="11.7109375" style="4" customWidth="1"/>
    <col min="9986" max="9986" width="53.7109375" style="4" customWidth="1"/>
    <col min="9987" max="9987" width="15.7109375" style="4" customWidth="1"/>
    <col min="9988" max="10240" width="9.140625" style="4"/>
    <col min="10241" max="10241" width="11.7109375" style="4" customWidth="1"/>
    <col min="10242" max="10242" width="53.7109375" style="4" customWidth="1"/>
    <col min="10243" max="10243" width="15.7109375" style="4" customWidth="1"/>
    <col min="10244" max="10496" width="9.140625" style="4"/>
    <col min="10497" max="10497" width="11.7109375" style="4" customWidth="1"/>
    <col min="10498" max="10498" width="53.7109375" style="4" customWidth="1"/>
    <col min="10499" max="10499" width="15.7109375" style="4" customWidth="1"/>
    <col min="10500" max="10752" width="9.140625" style="4"/>
    <col min="10753" max="10753" width="11.7109375" style="4" customWidth="1"/>
    <col min="10754" max="10754" width="53.7109375" style="4" customWidth="1"/>
    <col min="10755" max="10755" width="15.7109375" style="4" customWidth="1"/>
    <col min="10756" max="11008" width="9.140625" style="4"/>
    <col min="11009" max="11009" width="11.7109375" style="4" customWidth="1"/>
    <col min="11010" max="11010" width="53.7109375" style="4" customWidth="1"/>
    <col min="11011" max="11011" width="15.7109375" style="4" customWidth="1"/>
    <col min="11012" max="11264" width="9.140625" style="4"/>
    <col min="11265" max="11265" width="11.7109375" style="4" customWidth="1"/>
    <col min="11266" max="11266" width="53.7109375" style="4" customWidth="1"/>
    <col min="11267" max="11267" width="15.7109375" style="4" customWidth="1"/>
    <col min="11268" max="11520" width="9.140625" style="4"/>
    <col min="11521" max="11521" width="11.7109375" style="4" customWidth="1"/>
    <col min="11522" max="11522" width="53.7109375" style="4" customWidth="1"/>
    <col min="11523" max="11523" width="15.7109375" style="4" customWidth="1"/>
    <col min="11524" max="11776" width="9.140625" style="4"/>
    <col min="11777" max="11777" width="11.7109375" style="4" customWidth="1"/>
    <col min="11778" max="11778" width="53.7109375" style="4" customWidth="1"/>
    <col min="11779" max="11779" width="15.7109375" style="4" customWidth="1"/>
    <col min="11780" max="12032" width="9.140625" style="4"/>
    <col min="12033" max="12033" width="11.7109375" style="4" customWidth="1"/>
    <col min="12034" max="12034" width="53.7109375" style="4" customWidth="1"/>
    <col min="12035" max="12035" width="15.7109375" style="4" customWidth="1"/>
    <col min="12036" max="12288" width="9.140625" style="4"/>
    <col min="12289" max="12289" width="11.7109375" style="4" customWidth="1"/>
    <col min="12290" max="12290" width="53.7109375" style="4" customWidth="1"/>
    <col min="12291" max="12291" width="15.7109375" style="4" customWidth="1"/>
    <col min="12292" max="12544" width="9.140625" style="4"/>
    <col min="12545" max="12545" width="11.7109375" style="4" customWidth="1"/>
    <col min="12546" max="12546" width="53.7109375" style="4" customWidth="1"/>
    <col min="12547" max="12547" width="15.7109375" style="4" customWidth="1"/>
    <col min="12548" max="12800" width="9.140625" style="4"/>
    <col min="12801" max="12801" width="11.7109375" style="4" customWidth="1"/>
    <col min="12802" max="12802" width="53.7109375" style="4" customWidth="1"/>
    <col min="12803" max="12803" width="15.7109375" style="4" customWidth="1"/>
    <col min="12804" max="13056" width="9.140625" style="4"/>
    <col min="13057" max="13057" width="11.7109375" style="4" customWidth="1"/>
    <col min="13058" max="13058" width="53.7109375" style="4" customWidth="1"/>
    <col min="13059" max="13059" width="15.7109375" style="4" customWidth="1"/>
    <col min="13060" max="13312" width="9.140625" style="4"/>
    <col min="13313" max="13313" width="11.7109375" style="4" customWidth="1"/>
    <col min="13314" max="13314" width="53.7109375" style="4" customWidth="1"/>
    <col min="13315" max="13315" width="15.7109375" style="4" customWidth="1"/>
    <col min="13316" max="13568" width="9.140625" style="4"/>
    <col min="13569" max="13569" width="11.7109375" style="4" customWidth="1"/>
    <col min="13570" max="13570" width="53.7109375" style="4" customWidth="1"/>
    <col min="13571" max="13571" width="15.7109375" style="4" customWidth="1"/>
    <col min="13572" max="13824" width="9.140625" style="4"/>
    <col min="13825" max="13825" width="11.7109375" style="4" customWidth="1"/>
    <col min="13826" max="13826" width="53.7109375" style="4" customWidth="1"/>
    <col min="13827" max="13827" width="15.7109375" style="4" customWidth="1"/>
    <col min="13828" max="14080" width="9.140625" style="4"/>
    <col min="14081" max="14081" width="11.7109375" style="4" customWidth="1"/>
    <col min="14082" max="14082" width="53.7109375" style="4" customWidth="1"/>
    <col min="14083" max="14083" width="15.7109375" style="4" customWidth="1"/>
    <col min="14084" max="14336" width="9.140625" style="4"/>
    <col min="14337" max="14337" width="11.7109375" style="4" customWidth="1"/>
    <col min="14338" max="14338" width="53.7109375" style="4" customWidth="1"/>
    <col min="14339" max="14339" width="15.7109375" style="4" customWidth="1"/>
    <col min="14340" max="14592" width="9.140625" style="4"/>
    <col min="14593" max="14593" width="11.7109375" style="4" customWidth="1"/>
    <col min="14594" max="14594" width="53.7109375" style="4" customWidth="1"/>
    <col min="14595" max="14595" width="15.7109375" style="4" customWidth="1"/>
    <col min="14596" max="14848" width="9.140625" style="4"/>
    <col min="14849" max="14849" width="11.7109375" style="4" customWidth="1"/>
    <col min="14850" max="14850" width="53.7109375" style="4" customWidth="1"/>
    <col min="14851" max="14851" width="15.7109375" style="4" customWidth="1"/>
    <col min="14852" max="15104" width="9.140625" style="4"/>
    <col min="15105" max="15105" width="11.7109375" style="4" customWidth="1"/>
    <col min="15106" max="15106" width="53.7109375" style="4" customWidth="1"/>
    <col min="15107" max="15107" width="15.7109375" style="4" customWidth="1"/>
    <col min="15108" max="15360" width="9.140625" style="4"/>
    <col min="15361" max="15361" width="11.7109375" style="4" customWidth="1"/>
    <col min="15362" max="15362" width="53.7109375" style="4" customWidth="1"/>
    <col min="15363" max="15363" width="15.7109375" style="4" customWidth="1"/>
    <col min="15364" max="15616" width="9.140625" style="4"/>
    <col min="15617" max="15617" width="11.7109375" style="4" customWidth="1"/>
    <col min="15618" max="15618" width="53.7109375" style="4" customWidth="1"/>
    <col min="15619" max="15619" width="15.7109375" style="4" customWidth="1"/>
    <col min="15620" max="15872" width="9.140625" style="4"/>
    <col min="15873" max="15873" width="11.7109375" style="4" customWidth="1"/>
    <col min="15874" max="15874" width="53.7109375" style="4" customWidth="1"/>
    <col min="15875" max="15875" width="15.7109375" style="4" customWidth="1"/>
    <col min="15876" max="16128" width="9.140625" style="4"/>
    <col min="16129" max="16129" width="11.7109375" style="4" customWidth="1"/>
    <col min="16130" max="16130" width="53.7109375" style="4" customWidth="1"/>
    <col min="16131" max="16131" width="15.7109375" style="4" customWidth="1"/>
    <col min="16132" max="16384" width="9.140625" style="4"/>
  </cols>
  <sheetData>
    <row r="1" spans="1:254" ht="20.25" customHeight="1">
      <c r="A1" s="1" t="s">
        <v>0</v>
      </c>
      <c r="B1" s="2"/>
      <c r="C1" s="2"/>
      <c r="D1" s="3"/>
    </row>
    <row r="2" spans="1:254" s="5" customFormat="1" ht="13.5" customHeight="1">
      <c r="A2" s="360" t="s">
        <v>1</v>
      </c>
      <c r="B2" s="361"/>
      <c r="C2" s="361"/>
      <c r="D2" s="361"/>
      <c r="E2" s="361"/>
      <c r="F2" s="361"/>
      <c r="G2" s="361"/>
      <c r="H2" s="361"/>
      <c r="I2" s="361"/>
    </row>
    <row r="3" spans="1:254" s="8" customFormat="1" ht="13.5" customHeight="1">
      <c r="A3" s="362" t="s">
        <v>104</v>
      </c>
      <c r="B3" s="363"/>
      <c r="C3" s="363"/>
      <c r="D3" s="363"/>
      <c r="E3" s="6"/>
      <c r="F3" s="6"/>
      <c r="G3" s="7"/>
      <c r="N3" s="9"/>
      <c r="X3" s="9"/>
    </row>
    <row r="4" spans="1:254" s="12" customFormat="1" ht="13.5" customHeight="1">
      <c r="A4" s="10" t="s">
        <v>2</v>
      </c>
      <c r="B4" s="11"/>
      <c r="C4" s="11"/>
      <c r="E4" s="6"/>
      <c r="F4" s="13"/>
      <c r="AF4" s="3"/>
      <c r="AG4" s="3"/>
      <c r="AH4" s="3"/>
    </row>
    <row r="5" spans="1:254" ht="13.5" customHeight="1">
      <c r="A5" s="14"/>
      <c r="B5" s="14"/>
      <c r="C5" s="14"/>
      <c r="D5" s="3"/>
    </row>
    <row r="6" spans="1:254" ht="23.25" customHeight="1">
      <c r="A6" s="15" t="s">
        <v>3</v>
      </c>
      <c r="B6" s="16" t="s">
        <v>4</v>
      </c>
      <c r="C6" s="17" t="s">
        <v>5</v>
      </c>
      <c r="D6" s="3"/>
    </row>
    <row r="7" spans="1:254" ht="12.6" customHeight="1">
      <c r="A7" s="18">
        <v>1</v>
      </c>
      <c r="B7" s="19">
        <v>2</v>
      </c>
      <c r="C7" s="20">
        <v>3</v>
      </c>
      <c r="D7" s="21"/>
    </row>
    <row r="8" spans="1:254" ht="21" customHeight="1">
      <c r="A8" s="22"/>
      <c r="B8" s="23"/>
      <c r="C8" s="23"/>
      <c r="D8" s="24"/>
    </row>
    <row r="9" spans="1:254" s="24" customFormat="1" ht="13.5" customHeight="1">
      <c r="A9" s="25" t="s">
        <v>6</v>
      </c>
      <c r="B9" s="26" t="s">
        <v>7</v>
      </c>
      <c r="C9" s="27">
        <f>SUM(C10:C12)</f>
        <v>0</v>
      </c>
      <c r="D9" s="2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s="24" customFormat="1" ht="13.5" customHeight="1">
      <c r="A10" s="29">
        <v>6</v>
      </c>
      <c r="B10" s="30" t="s">
        <v>8</v>
      </c>
      <c r="C10" s="31">
        <f>'BOURACÍ PRÁCE'!H10</f>
        <v>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s="24" customFormat="1" ht="13.5" customHeight="1">
      <c r="A11" s="29">
        <v>9</v>
      </c>
      <c r="B11" s="30" t="s">
        <v>9</v>
      </c>
      <c r="C11" s="31">
        <f>'BOURACÍ PRÁCE'!H33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s="24" customFormat="1" ht="13.5" customHeight="1">
      <c r="A12" s="32">
        <v>99</v>
      </c>
      <c r="B12" s="33" t="s">
        <v>10</v>
      </c>
      <c r="C12" s="34">
        <f>'BOURACÍ PRÁCE'!H245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s="24" customFormat="1" ht="13.5" customHeight="1">
      <c r="A13" s="25" t="s">
        <v>11</v>
      </c>
      <c r="B13" s="26" t="s">
        <v>12</v>
      </c>
      <c r="C13" s="27">
        <f>SUM(C14:C19)</f>
        <v>0</v>
      </c>
      <c r="D13" s="2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s="24" customFormat="1" ht="13.5" customHeight="1">
      <c r="A14" s="29">
        <v>721</v>
      </c>
      <c r="B14" s="30" t="s">
        <v>105</v>
      </c>
      <c r="C14" s="31">
        <f>'BOURACÍ PRÁCE'!H250</f>
        <v>0</v>
      </c>
      <c r="D14" s="2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s="24" customFormat="1" ht="13.5" customHeight="1">
      <c r="A15" s="29">
        <v>725</v>
      </c>
      <c r="B15" s="30" t="s">
        <v>13</v>
      </c>
      <c r="C15" s="31">
        <f>'BOURACÍ PRÁCE'!H259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24" customFormat="1" ht="13.5" customHeight="1">
      <c r="A16" s="29">
        <v>763</v>
      </c>
      <c r="B16" s="30" t="s">
        <v>106</v>
      </c>
      <c r="C16" s="31">
        <f>'BOURACÍ PRÁCE'!H299</f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s="24" customFormat="1" ht="13.5" customHeight="1">
      <c r="A17" s="29">
        <v>766</v>
      </c>
      <c r="B17" s="30" t="s">
        <v>14</v>
      </c>
      <c r="C17" s="31">
        <f>'BOURACÍ PRÁCE'!H332</f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s="24" customFormat="1" ht="13.5" customHeight="1">
      <c r="A18" s="29">
        <v>787</v>
      </c>
      <c r="B18" s="30" t="s">
        <v>15</v>
      </c>
      <c r="C18" s="31">
        <f>'BOURACÍ PRÁCE'!H340</f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s="24" customFormat="1" ht="13.5" customHeight="1">
      <c r="A19" s="29">
        <v>790</v>
      </c>
      <c r="B19" s="30" t="s">
        <v>16</v>
      </c>
      <c r="C19" s="31">
        <f>'BOURACÍ PRÁCE'!H347</f>
        <v>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21" customHeight="1">
      <c r="A20" s="35"/>
      <c r="B20" s="36" t="s">
        <v>17</v>
      </c>
      <c r="C20" s="37">
        <f>C13+C9</f>
        <v>0</v>
      </c>
      <c r="D20" s="24"/>
    </row>
  </sheetData>
  <mergeCells count="2">
    <mergeCell ref="A2:I2"/>
    <mergeCell ref="A3:D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4"/>
  <sheetViews>
    <sheetView zoomScaleNormal="100" workbookViewId="0"/>
  </sheetViews>
  <sheetFormatPr defaultColWidth="9" defaultRowHeight="12" customHeight="1"/>
  <cols>
    <col min="1" max="1" width="4.140625" style="22" customWidth="1"/>
    <col min="2" max="2" width="4.28515625" style="23" customWidth="1"/>
    <col min="3" max="3" width="13.5703125" style="23" customWidth="1"/>
    <col min="4" max="4" width="65" style="23" customWidth="1"/>
    <col min="5" max="5" width="6.7109375" style="23" customWidth="1"/>
    <col min="6" max="6" width="8.42578125" style="223" customWidth="1"/>
    <col min="7" max="7" width="10" style="224" customWidth="1"/>
    <col min="8" max="8" width="15.7109375" style="224" customWidth="1"/>
    <col min="9" max="9" width="18.140625" style="225" customWidth="1"/>
    <col min="10" max="10" width="19.28515625" style="225" customWidth="1"/>
    <col min="11" max="11" width="13.85546875" style="225" customWidth="1"/>
    <col min="12" max="14" width="11.5703125" style="225" customWidth="1"/>
    <col min="15" max="15" width="10.28515625" style="225" bestFit="1" customWidth="1"/>
    <col min="16" max="16" width="15.85546875" style="225" customWidth="1"/>
    <col min="17" max="17" width="17" style="225" customWidth="1"/>
    <col min="18" max="18" width="17.42578125" style="225" customWidth="1"/>
    <col min="19" max="19" width="10.140625" style="225" bestFit="1" customWidth="1"/>
    <col min="20" max="74" width="9" style="225"/>
    <col min="75" max="256" width="9" style="24"/>
    <col min="257" max="257" width="4.140625" style="24" customWidth="1"/>
    <col min="258" max="258" width="4.28515625" style="24" customWidth="1"/>
    <col min="259" max="259" width="13.5703125" style="24" customWidth="1"/>
    <col min="260" max="260" width="65" style="24" customWidth="1"/>
    <col min="261" max="261" width="6.7109375" style="24" customWidth="1"/>
    <col min="262" max="262" width="8.42578125" style="24" customWidth="1"/>
    <col min="263" max="263" width="10" style="24" customWidth="1"/>
    <col min="264" max="264" width="15.7109375" style="24" customWidth="1"/>
    <col min="265" max="265" width="18.140625" style="24" customWidth="1"/>
    <col min="266" max="266" width="19.28515625" style="24" customWidth="1"/>
    <col min="267" max="267" width="13.85546875" style="24" customWidth="1"/>
    <col min="268" max="270" width="11.5703125" style="24" customWidth="1"/>
    <col min="271" max="271" width="10.28515625" style="24" bestFit="1" customWidth="1"/>
    <col min="272" max="272" width="15.85546875" style="24" customWidth="1"/>
    <col min="273" max="273" width="17" style="24" customWidth="1"/>
    <col min="274" max="274" width="17.42578125" style="24" customWidth="1"/>
    <col min="275" max="275" width="10.140625" style="24" bestFit="1" customWidth="1"/>
    <col min="276" max="512" width="9" style="24"/>
    <col min="513" max="513" width="4.140625" style="24" customWidth="1"/>
    <col min="514" max="514" width="4.28515625" style="24" customWidth="1"/>
    <col min="515" max="515" width="13.5703125" style="24" customWidth="1"/>
    <col min="516" max="516" width="65" style="24" customWidth="1"/>
    <col min="517" max="517" width="6.7109375" style="24" customWidth="1"/>
    <col min="518" max="518" width="8.42578125" style="24" customWidth="1"/>
    <col min="519" max="519" width="10" style="24" customWidth="1"/>
    <col min="520" max="520" width="15.7109375" style="24" customWidth="1"/>
    <col min="521" max="521" width="18.140625" style="24" customWidth="1"/>
    <col min="522" max="522" width="19.28515625" style="24" customWidth="1"/>
    <col min="523" max="523" width="13.85546875" style="24" customWidth="1"/>
    <col min="524" max="526" width="11.5703125" style="24" customWidth="1"/>
    <col min="527" max="527" width="10.28515625" style="24" bestFit="1" customWidth="1"/>
    <col min="528" max="528" width="15.85546875" style="24" customWidth="1"/>
    <col min="529" max="529" width="17" style="24" customWidth="1"/>
    <col min="530" max="530" width="17.42578125" style="24" customWidth="1"/>
    <col min="531" max="531" width="10.140625" style="24" bestFit="1" customWidth="1"/>
    <col min="532" max="768" width="9" style="24"/>
    <col min="769" max="769" width="4.140625" style="24" customWidth="1"/>
    <col min="770" max="770" width="4.28515625" style="24" customWidth="1"/>
    <col min="771" max="771" width="13.5703125" style="24" customWidth="1"/>
    <col min="772" max="772" width="65" style="24" customWidth="1"/>
    <col min="773" max="773" width="6.7109375" style="24" customWidth="1"/>
    <col min="774" max="774" width="8.42578125" style="24" customWidth="1"/>
    <col min="775" max="775" width="10" style="24" customWidth="1"/>
    <col min="776" max="776" width="15.7109375" style="24" customWidth="1"/>
    <col min="777" max="777" width="18.140625" style="24" customWidth="1"/>
    <col min="778" max="778" width="19.28515625" style="24" customWidth="1"/>
    <col min="779" max="779" width="13.85546875" style="24" customWidth="1"/>
    <col min="780" max="782" width="11.5703125" style="24" customWidth="1"/>
    <col min="783" max="783" width="10.28515625" style="24" bestFit="1" customWidth="1"/>
    <col min="784" max="784" width="15.85546875" style="24" customWidth="1"/>
    <col min="785" max="785" width="17" style="24" customWidth="1"/>
    <col min="786" max="786" width="17.42578125" style="24" customWidth="1"/>
    <col min="787" max="787" width="10.140625" style="24" bestFit="1" customWidth="1"/>
    <col min="788" max="1024" width="9" style="24"/>
    <col min="1025" max="1025" width="4.140625" style="24" customWidth="1"/>
    <col min="1026" max="1026" width="4.28515625" style="24" customWidth="1"/>
    <col min="1027" max="1027" width="13.5703125" style="24" customWidth="1"/>
    <col min="1028" max="1028" width="65" style="24" customWidth="1"/>
    <col min="1029" max="1029" width="6.7109375" style="24" customWidth="1"/>
    <col min="1030" max="1030" width="8.42578125" style="24" customWidth="1"/>
    <col min="1031" max="1031" width="10" style="24" customWidth="1"/>
    <col min="1032" max="1032" width="15.7109375" style="24" customWidth="1"/>
    <col min="1033" max="1033" width="18.140625" style="24" customWidth="1"/>
    <col min="1034" max="1034" width="19.28515625" style="24" customWidth="1"/>
    <col min="1035" max="1035" width="13.85546875" style="24" customWidth="1"/>
    <col min="1036" max="1038" width="11.5703125" style="24" customWidth="1"/>
    <col min="1039" max="1039" width="10.28515625" style="24" bestFit="1" customWidth="1"/>
    <col min="1040" max="1040" width="15.85546875" style="24" customWidth="1"/>
    <col min="1041" max="1041" width="17" style="24" customWidth="1"/>
    <col min="1042" max="1042" width="17.42578125" style="24" customWidth="1"/>
    <col min="1043" max="1043" width="10.140625" style="24" bestFit="1" customWidth="1"/>
    <col min="1044" max="1280" width="9" style="24"/>
    <col min="1281" max="1281" width="4.140625" style="24" customWidth="1"/>
    <col min="1282" max="1282" width="4.28515625" style="24" customWidth="1"/>
    <col min="1283" max="1283" width="13.5703125" style="24" customWidth="1"/>
    <col min="1284" max="1284" width="65" style="24" customWidth="1"/>
    <col min="1285" max="1285" width="6.7109375" style="24" customWidth="1"/>
    <col min="1286" max="1286" width="8.42578125" style="24" customWidth="1"/>
    <col min="1287" max="1287" width="10" style="24" customWidth="1"/>
    <col min="1288" max="1288" width="15.7109375" style="24" customWidth="1"/>
    <col min="1289" max="1289" width="18.140625" style="24" customWidth="1"/>
    <col min="1290" max="1290" width="19.28515625" style="24" customWidth="1"/>
    <col min="1291" max="1291" width="13.85546875" style="24" customWidth="1"/>
    <col min="1292" max="1294" width="11.5703125" style="24" customWidth="1"/>
    <col min="1295" max="1295" width="10.28515625" style="24" bestFit="1" customWidth="1"/>
    <col min="1296" max="1296" width="15.85546875" style="24" customWidth="1"/>
    <col min="1297" max="1297" width="17" style="24" customWidth="1"/>
    <col min="1298" max="1298" width="17.42578125" style="24" customWidth="1"/>
    <col min="1299" max="1299" width="10.140625" style="24" bestFit="1" customWidth="1"/>
    <col min="1300" max="1536" width="9" style="24"/>
    <col min="1537" max="1537" width="4.140625" style="24" customWidth="1"/>
    <col min="1538" max="1538" width="4.28515625" style="24" customWidth="1"/>
    <col min="1539" max="1539" width="13.5703125" style="24" customWidth="1"/>
    <col min="1540" max="1540" width="65" style="24" customWidth="1"/>
    <col min="1541" max="1541" width="6.7109375" style="24" customWidth="1"/>
    <col min="1542" max="1542" width="8.42578125" style="24" customWidth="1"/>
    <col min="1543" max="1543" width="10" style="24" customWidth="1"/>
    <col min="1544" max="1544" width="15.7109375" style="24" customWidth="1"/>
    <col min="1545" max="1545" width="18.140625" style="24" customWidth="1"/>
    <col min="1546" max="1546" width="19.28515625" style="24" customWidth="1"/>
    <col min="1547" max="1547" width="13.85546875" style="24" customWidth="1"/>
    <col min="1548" max="1550" width="11.5703125" style="24" customWidth="1"/>
    <col min="1551" max="1551" width="10.28515625" style="24" bestFit="1" customWidth="1"/>
    <col min="1552" max="1552" width="15.85546875" style="24" customWidth="1"/>
    <col min="1553" max="1553" width="17" style="24" customWidth="1"/>
    <col min="1554" max="1554" width="17.42578125" style="24" customWidth="1"/>
    <col min="1555" max="1555" width="10.140625" style="24" bestFit="1" customWidth="1"/>
    <col min="1556" max="1792" width="9" style="24"/>
    <col min="1793" max="1793" width="4.140625" style="24" customWidth="1"/>
    <col min="1794" max="1794" width="4.28515625" style="24" customWidth="1"/>
    <col min="1795" max="1795" width="13.5703125" style="24" customWidth="1"/>
    <col min="1796" max="1796" width="65" style="24" customWidth="1"/>
    <col min="1797" max="1797" width="6.7109375" style="24" customWidth="1"/>
    <col min="1798" max="1798" width="8.42578125" style="24" customWidth="1"/>
    <col min="1799" max="1799" width="10" style="24" customWidth="1"/>
    <col min="1800" max="1800" width="15.7109375" style="24" customWidth="1"/>
    <col min="1801" max="1801" width="18.140625" style="24" customWidth="1"/>
    <col min="1802" max="1802" width="19.28515625" style="24" customWidth="1"/>
    <col min="1803" max="1803" width="13.85546875" style="24" customWidth="1"/>
    <col min="1804" max="1806" width="11.5703125" style="24" customWidth="1"/>
    <col min="1807" max="1807" width="10.28515625" style="24" bestFit="1" customWidth="1"/>
    <col min="1808" max="1808" width="15.85546875" style="24" customWidth="1"/>
    <col min="1809" max="1809" width="17" style="24" customWidth="1"/>
    <col min="1810" max="1810" width="17.42578125" style="24" customWidth="1"/>
    <col min="1811" max="1811" width="10.140625" style="24" bestFit="1" customWidth="1"/>
    <col min="1812" max="2048" width="9" style="24"/>
    <col min="2049" max="2049" width="4.140625" style="24" customWidth="1"/>
    <col min="2050" max="2050" width="4.28515625" style="24" customWidth="1"/>
    <col min="2051" max="2051" width="13.5703125" style="24" customWidth="1"/>
    <col min="2052" max="2052" width="65" style="24" customWidth="1"/>
    <col min="2053" max="2053" width="6.7109375" style="24" customWidth="1"/>
    <col min="2054" max="2054" width="8.42578125" style="24" customWidth="1"/>
    <col min="2055" max="2055" width="10" style="24" customWidth="1"/>
    <col min="2056" max="2056" width="15.7109375" style="24" customWidth="1"/>
    <col min="2057" max="2057" width="18.140625" style="24" customWidth="1"/>
    <col min="2058" max="2058" width="19.28515625" style="24" customWidth="1"/>
    <col min="2059" max="2059" width="13.85546875" style="24" customWidth="1"/>
    <col min="2060" max="2062" width="11.5703125" style="24" customWidth="1"/>
    <col min="2063" max="2063" width="10.28515625" style="24" bestFit="1" customWidth="1"/>
    <col min="2064" max="2064" width="15.85546875" style="24" customWidth="1"/>
    <col min="2065" max="2065" width="17" style="24" customWidth="1"/>
    <col min="2066" max="2066" width="17.42578125" style="24" customWidth="1"/>
    <col min="2067" max="2067" width="10.140625" style="24" bestFit="1" customWidth="1"/>
    <col min="2068" max="2304" width="9" style="24"/>
    <col min="2305" max="2305" width="4.140625" style="24" customWidth="1"/>
    <col min="2306" max="2306" width="4.28515625" style="24" customWidth="1"/>
    <col min="2307" max="2307" width="13.5703125" style="24" customWidth="1"/>
    <col min="2308" max="2308" width="65" style="24" customWidth="1"/>
    <col min="2309" max="2309" width="6.7109375" style="24" customWidth="1"/>
    <col min="2310" max="2310" width="8.42578125" style="24" customWidth="1"/>
    <col min="2311" max="2311" width="10" style="24" customWidth="1"/>
    <col min="2312" max="2312" width="15.7109375" style="24" customWidth="1"/>
    <col min="2313" max="2313" width="18.140625" style="24" customWidth="1"/>
    <col min="2314" max="2314" width="19.28515625" style="24" customWidth="1"/>
    <col min="2315" max="2315" width="13.85546875" style="24" customWidth="1"/>
    <col min="2316" max="2318" width="11.5703125" style="24" customWidth="1"/>
    <col min="2319" max="2319" width="10.28515625" style="24" bestFit="1" customWidth="1"/>
    <col min="2320" max="2320" width="15.85546875" style="24" customWidth="1"/>
    <col min="2321" max="2321" width="17" style="24" customWidth="1"/>
    <col min="2322" max="2322" width="17.42578125" style="24" customWidth="1"/>
    <col min="2323" max="2323" width="10.140625" style="24" bestFit="1" customWidth="1"/>
    <col min="2324" max="2560" width="9" style="24"/>
    <col min="2561" max="2561" width="4.140625" style="24" customWidth="1"/>
    <col min="2562" max="2562" width="4.28515625" style="24" customWidth="1"/>
    <col min="2563" max="2563" width="13.5703125" style="24" customWidth="1"/>
    <col min="2564" max="2564" width="65" style="24" customWidth="1"/>
    <col min="2565" max="2565" width="6.7109375" style="24" customWidth="1"/>
    <col min="2566" max="2566" width="8.42578125" style="24" customWidth="1"/>
    <col min="2567" max="2567" width="10" style="24" customWidth="1"/>
    <col min="2568" max="2568" width="15.7109375" style="24" customWidth="1"/>
    <col min="2569" max="2569" width="18.140625" style="24" customWidth="1"/>
    <col min="2570" max="2570" width="19.28515625" style="24" customWidth="1"/>
    <col min="2571" max="2571" width="13.85546875" style="24" customWidth="1"/>
    <col min="2572" max="2574" width="11.5703125" style="24" customWidth="1"/>
    <col min="2575" max="2575" width="10.28515625" style="24" bestFit="1" customWidth="1"/>
    <col min="2576" max="2576" width="15.85546875" style="24" customWidth="1"/>
    <col min="2577" max="2577" width="17" style="24" customWidth="1"/>
    <col min="2578" max="2578" width="17.42578125" style="24" customWidth="1"/>
    <col min="2579" max="2579" width="10.140625" style="24" bestFit="1" customWidth="1"/>
    <col min="2580" max="2816" width="9" style="24"/>
    <col min="2817" max="2817" width="4.140625" style="24" customWidth="1"/>
    <col min="2818" max="2818" width="4.28515625" style="24" customWidth="1"/>
    <col min="2819" max="2819" width="13.5703125" style="24" customWidth="1"/>
    <col min="2820" max="2820" width="65" style="24" customWidth="1"/>
    <col min="2821" max="2821" width="6.7109375" style="24" customWidth="1"/>
    <col min="2822" max="2822" width="8.42578125" style="24" customWidth="1"/>
    <col min="2823" max="2823" width="10" style="24" customWidth="1"/>
    <col min="2824" max="2824" width="15.7109375" style="24" customWidth="1"/>
    <col min="2825" max="2825" width="18.140625" style="24" customWidth="1"/>
    <col min="2826" max="2826" width="19.28515625" style="24" customWidth="1"/>
    <col min="2827" max="2827" width="13.85546875" style="24" customWidth="1"/>
    <col min="2828" max="2830" width="11.5703125" style="24" customWidth="1"/>
    <col min="2831" max="2831" width="10.28515625" style="24" bestFit="1" customWidth="1"/>
    <col min="2832" max="2832" width="15.85546875" style="24" customWidth="1"/>
    <col min="2833" max="2833" width="17" style="24" customWidth="1"/>
    <col min="2834" max="2834" width="17.42578125" style="24" customWidth="1"/>
    <col min="2835" max="2835" width="10.140625" style="24" bestFit="1" customWidth="1"/>
    <col min="2836" max="3072" width="9" style="24"/>
    <col min="3073" max="3073" width="4.140625" style="24" customWidth="1"/>
    <col min="3074" max="3074" width="4.28515625" style="24" customWidth="1"/>
    <col min="3075" max="3075" width="13.5703125" style="24" customWidth="1"/>
    <col min="3076" max="3076" width="65" style="24" customWidth="1"/>
    <col min="3077" max="3077" width="6.7109375" style="24" customWidth="1"/>
    <col min="3078" max="3078" width="8.42578125" style="24" customWidth="1"/>
    <col min="3079" max="3079" width="10" style="24" customWidth="1"/>
    <col min="3080" max="3080" width="15.7109375" style="24" customWidth="1"/>
    <col min="3081" max="3081" width="18.140625" style="24" customWidth="1"/>
    <col min="3082" max="3082" width="19.28515625" style="24" customWidth="1"/>
    <col min="3083" max="3083" width="13.85546875" style="24" customWidth="1"/>
    <col min="3084" max="3086" width="11.5703125" style="24" customWidth="1"/>
    <col min="3087" max="3087" width="10.28515625" style="24" bestFit="1" customWidth="1"/>
    <col min="3088" max="3088" width="15.85546875" style="24" customWidth="1"/>
    <col min="3089" max="3089" width="17" style="24" customWidth="1"/>
    <col min="3090" max="3090" width="17.42578125" style="24" customWidth="1"/>
    <col min="3091" max="3091" width="10.140625" style="24" bestFit="1" customWidth="1"/>
    <col min="3092" max="3328" width="9" style="24"/>
    <col min="3329" max="3329" width="4.140625" style="24" customWidth="1"/>
    <col min="3330" max="3330" width="4.28515625" style="24" customWidth="1"/>
    <col min="3331" max="3331" width="13.5703125" style="24" customWidth="1"/>
    <col min="3332" max="3332" width="65" style="24" customWidth="1"/>
    <col min="3333" max="3333" width="6.7109375" style="24" customWidth="1"/>
    <col min="3334" max="3334" width="8.42578125" style="24" customWidth="1"/>
    <col min="3335" max="3335" width="10" style="24" customWidth="1"/>
    <col min="3336" max="3336" width="15.7109375" style="24" customWidth="1"/>
    <col min="3337" max="3337" width="18.140625" style="24" customWidth="1"/>
    <col min="3338" max="3338" width="19.28515625" style="24" customWidth="1"/>
    <col min="3339" max="3339" width="13.85546875" style="24" customWidth="1"/>
    <col min="3340" max="3342" width="11.5703125" style="24" customWidth="1"/>
    <col min="3343" max="3343" width="10.28515625" style="24" bestFit="1" customWidth="1"/>
    <col min="3344" max="3344" width="15.85546875" style="24" customWidth="1"/>
    <col min="3345" max="3345" width="17" style="24" customWidth="1"/>
    <col min="3346" max="3346" width="17.42578125" style="24" customWidth="1"/>
    <col min="3347" max="3347" width="10.140625" style="24" bestFit="1" customWidth="1"/>
    <col min="3348" max="3584" width="9" style="24"/>
    <col min="3585" max="3585" width="4.140625" style="24" customWidth="1"/>
    <col min="3586" max="3586" width="4.28515625" style="24" customWidth="1"/>
    <col min="3587" max="3587" width="13.5703125" style="24" customWidth="1"/>
    <col min="3588" max="3588" width="65" style="24" customWidth="1"/>
    <col min="3589" max="3589" width="6.7109375" style="24" customWidth="1"/>
    <col min="3590" max="3590" width="8.42578125" style="24" customWidth="1"/>
    <col min="3591" max="3591" width="10" style="24" customWidth="1"/>
    <col min="3592" max="3592" width="15.7109375" style="24" customWidth="1"/>
    <col min="3593" max="3593" width="18.140625" style="24" customWidth="1"/>
    <col min="3594" max="3594" width="19.28515625" style="24" customWidth="1"/>
    <col min="3595" max="3595" width="13.85546875" style="24" customWidth="1"/>
    <col min="3596" max="3598" width="11.5703125" style="24" customWidth="1"/>
    <col min="3599" max="3599" width="10.28515625" style="24" bestFit="1" customWidth="1"/>
    <col min="3600" max="3600" width="15.85546875" style="24" customWidth="1"/>
    <col min="3601" max="3601" width="17" style="24" customWidth="1"/>
    <col min="3602" max="3602" width="17.42578125" style="24" customWidth="1"/>
    <col min="3603" max="3603" width="10.140625" style="24" bestFit="1" customWidth="1"/>
    <col min="3604" max="3840" width="9" style="24"/>
    <col min="3841" max="3841" width="4.140625" style="24" customWidth="1"/>
    <col min="3842" max="3842" width="4.28515625" style="24" customWidth="1"/>
    <col min="3843" max="3843" width="13.5703125" style="24" customWidth="1"/>
    <col min="3844" max="3844" width="65" style="24" customWidth="1"/>
    <col min="3845" max="3845" width="6.7109375" style="24" customWidth="1"/>
    <col min="3846" max="3846" width="8.42578125" style="24" customWidth="1"/>
    <col min="3847" max="3847" width="10" style="24" customWidth="1"/>
    <col min="3848" max="3848" width="15.7109375" style="24" customWidth="1"/>
    <col min="3849" max="3849" width="18.140625" style="24" customWidth="1"/>
    <col min="3850" max="3850" width="19.28515625" style="24" customWidth="1"/>
    <col min="3851" max="3851" width="13.85546875" style="24" customWidth="1"/>
    <col min="3852" max="3854" width="11.5703125" style="24" customWidth="1"/>
    <col min="3855" max="3855" width="10.28515625" style="24" bestFit="1" customWidth="1"/>
    <col min="3856" max="3856" width="15.85546875" style="24" customWidth="1"/>
    <col min="3857" max="3857" width="17" style="24" customWidth="1"/>
    <col min="3858" max="3858" width="17.42578125" style="24" customWidth="1"/>
    <col min="3859" max="3859" width="10.140625" style="24" bestFit="1" customWidth="1"/>
    <col min="3860" max="4096" width="9" style="24"/>
    <col min="4097" max="4097" width="4.140625" style="24" customWidth="1"/>
    <col min="4098" max="4098" width="4.28515625" style="24" customWidth="1"/>
    <col min="4099" max="4099" width="13.5703125" style="24" customWidth="1"/>
    <col min="4100" max="4100" width="65" style="24" customWidth="1"/>
    <col min="4101" max="4101" width="6.7109375" style="24" customWidth="1"/>
    <col min="4102" max="4102" width="8.42578125" style="24" customWidth="1"/>
    <col min="4103" max="4103" width="10" style="24" customWidth="1"/>
    <col min="4104" max="4104" width="15.7109375" style="24" customWidth="1"/>
    <col min="4105" max="4105" width="18.140625" style="24" customWidth="1"/>
    <col min="4106" max="4106" width="19.28515625" style="24" customWidth="1"/>
    <col min="4107" max="4107" width="13.85546875" style="24" customWidth="1"/>
    <col min="4108" max="4110" width="11.5703125" style="24" customWidth="1"/>
    <col min="4111" max="4111" width="10.28515625" style="24" bestFit="1" customWidth="1"/>
    <col min="4112" max="4112" width="15.85546875" style="24" customWidth="1"/>
    <col min="4113" max="4113" width="17" style="24" customWidth="1"/>
    <col min="4114" max="4114" width="17.42578125" style="24" customWidth="1"/>
    <col min="4115" max="4115" width="10.140625" style="24" bestFit="1" customWidth="1"/>
    <col min="4116" max="4352" width="9" style="24"/>
    <col min="4353" max="4353" width="4.140625" style="24" customWidth="1"/>
    <col min="4354" max="4354" width="4.28515625" style="24" customWidth="1"/>
    <col min="4355" max="4355" width="13.5703125" style="24" customWidth="1"/>
    <col min="4356" max="4356" width="65" style="24" customWidth="1"/>
    <col min="4357" max="4357" width="6.7109375" style="24" customWidth="1"/>
    <col min="4358" max="4358" width="8.42578125" style="24" customWidth="1"/>
    <col min="4359" max="4359" width="10" style="24" customWidth="1"/>
    <col min="4360" max="4360" width="15.7109375" style="24" customWidth="1"/>
    <col min="4361" max="4361" width="18.140625" style="24" customWidth="1"/>
    <col min="4362" max="4362" width="19.28515625" style="24" customWidth="1"/>
    <col min="4363" max="4363" width="13.85546875" style="24" customWidth="1"/>
    <col min="4364" max="4366" width="11.5703125" style="24" customWidth="1"/>
    <col min="4367" max="4367" width="10.28515625" style="24" bestFit="1" customWidth="1"/>
    <col min="4368" max="4368" width="15.85546875" style="24" customWidth="1"/>
    <col min="4369" max="4369" width="17" style="24" customWidth="1"/>
    <col min="4370" max="4370" width="17.42578125" style="24" customWidth="1"/>
    <col min="4371" max="4371" width="10.140625" style="24" bestFit="1" customWidth="1"/>
    <col min="4372" max="4608" width="9" style="24"/>
    <col min="4609" max="4609" width="4.140625" style="24" customWidth="1"/>
    <col min="4610" max="4610" width="4.28515625" style="24" customWidth="1"/>
    <col min="4611" max="4611" width="13.5703125" style="24" customWidth="1"/>
    <col min="4612" max="4612" width="65" style="24" customWidth="1"/>
    <col min="4613" max="4613" width="6.7109375" style="24" customWidth="1"/>
    <col min="4614" max="4614" width="8.42578125" style="24" customWidth="1"/>
    <col min="4615" max="4615" width="10" style="24" customWidth="1"/>
    <col min="4616" max="4616" width="15.7109375" style="24" customWidth="1"/>
    <col min="4617" max="4617" width="18.140625" style="24" customWidth="1"/>
    <col min="4618" max="4618" width="19.28515625" style="24" customWidth="1"/>
    <col min="4619" max="4619" width="13.85546875" style="24" customWidth="1"/>
    <col min="4620" max="4622" width="11.5703125" style="24" customWidth="1"/>
    <col min="4623" max="4623" width="10.28515625" style="24" bestFit="1" customWidth="1"/>
    <col min="4624" max="4624" width="15.85546875" style="24" customWidth="1"/>
    <col min="4625" max="4625" width="17" style="24" customWidth="1"/>
    <col min="4626" max="4626" width="17.42578125" style="24" customWidth="1"/>
    <col min="4627" max="4627" width="10.140625" style="24" bestFit="1" customWidth="1"/>
    <col min="4628" max="4864" width="9" style="24"/>
    <col min="4865" max="4865" width="4.140625" style="24" customWidth="1"/>
    <col min="4866" max="4866" width="4.28515625" style="24" customWidth="1"/>
    <col min="4867" max="4867" width="13.5703125" style="24" customWidth="1"/>
    <col min="4868" max="4868" width="65" style="24" customWidth="1"/>
    <col min="4869" max="4869" width="6.7109375" style="24" customWidth="1"/>
    <col min="4870" max="4870" width="8.42578125" style="24" customWidth="1"/>
    <col min="4871" max="4871" width="10" style="24" customWidth="1"/>
    <col min="4872" max="4872" width="15.7109375" style="24" customWidth="1"/>
    <col min="4873" max="4873" width="18.140625" style="24" customWidth="1"/>
    <col min="4874" max="4874" width="19.28515625" style="24" customWidth="1"/>
    <col min="4875" max="4875" width="13.85546875" style="24" customWidth="1"/>
    <col min="4876" max="4878" width="11.5703125" style="24" customWidth="1"/>
    <col min="4879" max="4879" width="10.28515625" style="24" bestFit="1" customWidth="1"/>
    <col min="4880" max="4880" width="15.85546875" style="24" customWidth="1"/>
    <col min="4881" max="4881" width="17" style="24" customWidth="1"/>
    <col min="4882" max="4882" width="17.42578125" style="24" customWidth="1"/>
    <col min="4883" max="4883" width="10.140625" style="24" bestFit="1" customWidth="1"/>
    <col min="4884" max="5120" width="9" style="24"/>
    <col min="5121" max="5121" width="4.140625" style="24" customWidth="1"/>
    <col min="5122" max="5122" width="4.28515625" style="24" customWidth="1"/>
    <col min="5123" max="5123" width="13.5703125" style="24" customWidth="1"/>
    <col min="5124" max="5124" width="65" style="24" customWidth="1"/>
    <col min="5125" max="5125" width="6.7109375" style="24" customWidth="1"/>
    <col min="5126" max="5126" width="8.42578125" style="24" customWidth="1"/>
    <col min="5127" max="5127" width="10" style="24" customWidth="1"/>
    <col min="5128" max="5128" width="15.7109375" style="24" customWidth="1"/>
    <col min="5129" max="5129" width="18.140625" style="24" customWidth="1"/>
    <col min="5130" max="5130" width="19.28515625" style="24" customWidth="1"/>
    <col min="5131" max="5131" width="13.85546875" style="24" customWidth="1"/>
    <col min="5132" max="5134" width="11.5703125" style="24" customWidth="1"/>
    <col min="5135" max="5135" width="10.28515625" style="24" bestFit="1" customWidth="1"/>
    <col min="5136" max="5136" width="15.85546875" style="24" customWidth="1"/>
    <col min="5137" max="5137" width="17" style="24" customWidth="1"/>
    <col min="5138" max="5138" width="17.42578125" style="24" customWidth="1"/>
    <col min="5139" max="5139" width="10.140625" style="24" bestFit="1" customWidth="1"/>
    <col min="5140" max="5376" width="9" style="24"/>
    <col min="5377" max="5377" width="4.140625" style="24" customWidth="1"/>
    <col min="5378" max="5378" width="4.28515625" style="24" customWidth="1"/>
    <col min="5379" max="5379" width="13.5703125" style="24" customWidth="1"/>
    <col min="5380" max="5380" width="65" style="24" customWidth="1"/>
    <col min="5381" max="5381" width="6.7109375" style="24" customWidth="1"/>
    <col min="5382" max="5382" width="8.42578125" style="24" customWidth="1"/>
    <col min="5383" max="5383" width="10" style="24" customWidth="1"/>
    <col min="5384" max="5384" width="15.7109375" style="24" customWidth="1"/>
    <col min="5385" max="5385" width="18.140625" style="24" customWidth="1"/>
    <col min="5386" max="5386" width="19.28515625" style="24" customWidth="1"/>
    <col min="5387" max="5387" width="13.85546875" style="24" customWidth="1"/>
    <col min="5388" max="5390" width="11.5703125" style="24" customWidth="1"/>
    <col min="5391" max="5391" width="10.28515625" style="24" bestFit="1" customWidth="1"/>
    <col min="5392" max="5392" width="15.85546875" style="24" customWidth="1"/>
    <col min="5393" max="5393" width="17" style="24" customWidth="1"/>
    <col min="5394" max="5394" width="17.42578125" style="24" customWidth="1"/>
    <col min="5395" max="5395" width="10.140625" style="24" bestFit="1" customWidth="1"/>
    <col min="5396" max="5632" width="9" style="24"/>
    <col min="5633" max="5633" width="4.140625" style="24" customWidth="1"/>
    <col min="5634" max="5634" width="4.28515625" style="24" customWidth="1"/>
    <col min="5635" max="5635" width="13.5703125" style="24" customWidth="1"/>
    <col min="5636" max="5636" width="65" style="24" customWidth="1"/>
    <col min="5637" max="5637" width="6.7109375" style="24" customWidth="1"/>
    <col min="5638" max="5638" width="8.42578125" style="24" customWidth="1"/>
    <col min="5639" max="5639" width="10" style="24" customWidth="1"/>
    <col min="5640" max="5640" width="15.7109375" style="24" customWidth="1"/>
    <col min="5641" max="5641" width="18.140625" style="24" customWidth="1"/>
    <col min="5642" max="5642" width="19.28515625" style="24" customWidth="1"/>
    <col min="5643" max="5643" width="13.85546875" style="24" customWidth="1"/>
    <col min="5644" max="5646" width="11.5703125" style="24" customWidth="1"/>
    <col min="5647" max="5647" width="10.28515625" style="24" bestFit="1" customWidth="1"/>
    <col min="5648" max="5648" width="15.85546875" style="24" customWidth="1"/>
    <col min="5649" max="5649" width="17" style="24" customWidth="1"/>
    <col min="5650" max="5650" width="17.42578125" style="24" customWidth="1"/>
    <col min="5651" max="5651" width="10.140625" style="24" bestFit="1" customWidth="1"/>
    <col min="5652" max="5888" width="9" style="24"/>
    <col min="5889" max="5889" width="4.140625" style="24" customWidth="1"/>
    <col min="5890" max="5890" width="4.28515625" style="24" customWidth="1"/>
    <col min="5891" max="5891" width="13.5703125" style="24" customWidth="1"/>
    <col min="5892" max="5892" width="65" style="24" customWidth="1"/>
    <col min="5893" max="5893" width="6.7109375" style="24" customWidth="1"/>
    <col min="5894" max="5894" width="8.42578125" style="24" customWidth="1"/>
    <col min="5895" max="5895" width="10" style="24" customWidth="1"/>
    <col min="5896" max="5896" width="15.7109375" style="24" customWidth="1"/>
    <col min="5897" max="5897" width="18.140625" style="24" customWidth="1"/>
    <col min="5898" max="5898" width="19.28515625" style="24" customWidth="1"/>
    <col min="5899" max="5899" width="13.85546875" style="24" customWidth="1"/>
    <col min="5900" max="5902" width="11.5703125" style="24" customWidth="1"/>
    <col min="5903" max="5903" width="10.28515625" style="24" bestFit="1" customWidth="1"/>
    <col min="5904" max="5904" width="15.85546875" style="24" customWidth="1"/>
    <col min="5905" max="5905" width="17" style="24" customWidth="1"/>
    <col min="5906" max="5906" width="17.42578125" style="24" customWidth="1"/>
    <col min="5907" max="5907" width="10.140625" style="24" bestFit="1" customWidth="1"/>
    <col min="5908" max="6144" width="9" style="24"/>
    <col min="6145" max="6145" width="4.140625" style="24" customWidth="1"/>
    <col min="6146" max="6146" width="4.28515625" style="24" customWidth="1"/>
    <col min="6147" max="6147" width="13.5703125" style="24" customWidth="1"/>
    <col min="6148" max="6148" width="65" style="24" customWidth="1"/>
    <col min="6149" max="6149" width="6.7109375" style="24" customWidth="1"/>
    <col min="6150" max="6150" width="8.42578125" style="24" customWidth="1"/>
    <col min="6151" max="6151" width="10" style="24" customWidth="1"/>
    <col min="6152" max="6152" width="15.7109375" style="24" customWidth="1"/>
    <col min="6153" max="6153" width="18.140625" style="24" customWidth="1"/>
    <col min="6154" max="6154" width="19.28515625" style="24" customWidth="1"/>
    <col min="6155" max="6155" width="13.85546875" style="24" customWidth="1"/>
    <col min="6156" max="6158" width="11.5703125" style="24" customWidth="1"/>
    <col min="6159" max="6159" width="10.28515625" style="24" bestFit="1" customWidth="1"/>
    <col min="6160" max="6160" width="15.85546875" style="24" customWidth="1"/>
    <col min="6161" max="6161" width="17" style="24" customWidth="1"/>
    <col min="6162" max="6162" width="17.42578125" style="24" customWidth="1"/>
    <col min="6163" max="6163" width="10.140625" style="24" bestFit="1" customWidth="1"/>
    <col min="6164" max="6400" width="9" style="24"/>
    <col min="6401" max="6401" width="4.140625" style="24" customWidth="1"/>
    <col min="6402" max="6402" width="4.28515625" style="24" customWidth="1"/>
    <col min="6403" max="6403" width="13.5703125" style="24" customWidth="1"/>
    <col min="6404" max="6404" width="65" style="24" customWidth="1"/>
    <col min="6405" max="6405" width="6.7109375" style="24" customWidth="1"/>
    <col min="6406" max="6406" width="8.42578125" style="24" customWidth="1"/>
    <col min="6407" max="6407" width="10" style="24" customWidth="1"/>
    <col min="6408" max="6408" width="15.7109375" style="24" customWidth="1"/>
    <col min="6409" max="6409" width="18.140625" style="24" customWidth="1"/>
    <col min="6410" max="6410" width="19.28515625" style="24" customWidth="1"/>
    <col min="6411" max="6411" width="13.85546875" style="24" customWidth="1"/>
    <col min="6412" max="6414" width="11.5703125" style="24" customWidth="1"/>
    <col min="6415" max="6415" width="10.28515625" style="24" bestFit="1" customWidth="1"/>
    <col min="6416" max="6416" width="15.85546875" style="24" customWidth="1"/>
    <col min="6417" max="6417" width="17" style="24" customWidth="1"/>
    <col min="6418" max="6418" width="17.42578125" style="24" customWidth="1"/>
    <col min="6419" max="6419" width="10.140625" style="24" bestFit="1" customWidth="1"/>
    <col min="6420" max="6656" width="9" style="24"/>
    <col min="6657" max="6657" width="4.140625" style="24" customWidth="1"/>
    <col min="6658" max="6658" width="4.28515625" style="24" customWidth="1"/>
    <col min="6659" max="6659" width="13.5703125" style="24" customWidth="1"/>
    <col min="6660" max="6660" width="65" style="24" customWidth="1"/>
    <col min="6661" max="6661" width="6.7109375" style="24" customWidth="1"/>
    <col min="6662" max="6662" width="8.42578125" style="24" customWidth="1"/>
    <col min="6663" max="6663" width="10" style="24" customWidth="1"/>
    <col min="6664" max="6664" width="15.7109375" style="24" customWidth="1"/>
    <col min="6665" max="6665" width="18.140625" style="24" customWidth="1"/>
    <col min="6666" max="6666" width="19.28515625" style="24" customWidth="1"/>
    <col min="6667" max="6667" width="13.85546875" style="24" customWidth="1"/>
    <col min="6668" max="6670" width="11.5703125" style="24" customWidth="1"/>
    <col min="6671" max="6671" width="10.28515625" style="24" bestFit="1" customWidth="1"/>
    <col min="6672" max="6672" width="15.85546875" style="24" customWidth="1"/>
    <col min="6673" max="6673" width="17" style="24" customWidth="1"/>
    <col min="6674" max="6674" width="17.42578125" style="24" customWidth="1"/>
    <col min="6675" max="6675" width="10.140625" style="24" bestFit="1" customWidth="1"/>
    <col min="6676" max="6912" width="9" style="24"/>
    <col min="6913" max="6913" width="4.140625" style="24" customWidth="1"/>
    <col min="6914" max="6914" width="4.28515625" style="24" customWidth="1"/>
    <col min="6915" max="6915" width="13.5703125" style="24" customWidth="1"/>
    <col min="6916" max="6916" width="65" style="24" customWidth="1"/>
    <col min="6917" max="6917" width="6.7109375" style="24" customWidth="1"/>
    <col min="6918" max="6918" width="8.42578125" style="24" customWidth="1"/>
    <col min="6919" max="6919" width="10" style="24" customWidth="1"/>
    <col min="6920" max="6920" width="15.7109375" style="24" customWidth="1"/>
    <col min="6921" max="6921" width="18.140625" style="24" customWidth="1"/>
    <col min="6922" max="6922" width="19.28515625" style="24" customWidth="1"/>
    <col min="6923" max="6923" width="13.85546875" style="24" customWidth="1"/>
    <col min="6924" max="6926" width="11.5703125" style="24" customWidth="1"/>
    <col min="6927" max="6927" width="10.28515625" style="24" bestFit="1" customWidth="1"/>
    <col min="6928" max="6928" width="15.85546875" style="24" customWidth="1"/>
    <col min="6929" max="6929" width="17" style="24" customWidth="1"/>
    <col min="6930" max="6930" width="17.42578125" style="24" customWidth="1"/>
    <col min="6931" max="6931" width="10.140625" style="24" bestFit="1" customWidth="1"/>
    <col min="6932" max="7168" width="9" style="24"/>
    <col min="7169" max="7169" width="4.140625" style="24" customWidth="1"/>
    <col min="7170" max="7170" width="4.28515625" style="24" customWidth="1"/>
    <col min="7171" max="7171" width="13.5703125" style="24" customWidth="1"/>
    <col min="7172" max="7172" width="65" style="24" customWidth="1"/>
    <col min="7173" max="7173" width="6.7109375" style="24" customWidth="1"/>
    <col min="7174" max="7174" width="8.42578125" style="24" customWidth="1"/>
    <col min="7175" max="7175" width="10" style="24" customWidth="1"/>
    <col min="7176" max="7176" width="15.7109375" style="24" customWidth="1"/>
    <col min="7177" max="7177" width="18.140625" style="24" customWidth="1"/>
    <col min="7178" max="7178" width="19.28515625" style="24" customWidth="1"/>
    <col min="7179" max="7179" width="13.85546875" style="24" customWidth="1"/>
    <col min="7180" max="7182" width="11.5703125" style="24" customWidth="1"/>
    <col min="7183" max="7183" width="10.28515625" style="24" bestFit="1" customWidth="1"/>
    <col min="7184" max="7184" width="15.85546875" style="24" customWidth="1"/>
    <col min="7185" max="7185" width="17" style="24" customWidth="1"/>
    <col min="7186" max="7186" width="17.42578125" style="24" customWidth="1"/>
    <col min="7187" max="7187" width="10.140625" style="24" bestFit="1" customWidth="1"/>
    <col min="7188" max="7424" width="9" style="24"/>
    <col min="7425" max="7425" width="4.140625" style="24" customWidth="1"/>
    <col min="7426" max="7426" width="4.28515625" style="24" customWidth="1"/>
    <col min="7427" max="7427" width="13.5703125" style="24" customWidth="1"/>
    <col min="7428" max="7428" width="65" style="24" customWidth="1"/>
    <col min="7429" max="7429" width="6.7109375" style="24" customWidth="1"/>
    <col min="7430" max="7430" width="8.42578125" style="24" customWidth="1"/>
    <col min="7431" max="7431" width="10" style="24" customWidth="1"/>
    <col min="7432" max="7432" width="15.7109375" style="24" customWidth="1"/>
    <col min="7433" max="7433" width="18.140625" style="24" customWidth="1"/>
    <col min="7434" max="7434" width="19.28515625" style="24" customWidth="1"/>
    <col min="7435" max="7435" width="13.85546875" style="24" customWidth="1"/>
    <col min="7436" max="7438" width="11.5703125" style="24" customWidth="1"/>
    <col min="7439" max="7439" width="10.28515625" style="24" bestFit="1" customWidth="1"/>
    <col min="7440" max="7440" width="15.85546875" style="24" customWidth="1"/>
    <col min="7441" max="7441" width="17" style="24" customWidth="1"/>
    <col min="7442" max="7442" width="17.42578125" style="24" customWidth="1"/>
    <col min="7443" max="7443" width="10.140625" style="24" bestFit="1" customWidth="1"/>
    <col min="7444" max="7680" width="9" style="24"/>
    <col min="7681" max="7681" width="4.140625" style="24" customWidth="1"/>
    <col min="7682" max="7682" width="4.28515625" style="24" customWidth="1"/>
    <col min="7683" max="7683" width="13.5703125" style="24" customWidth="1"/>
    <col min="7684" max="7684" width="65" style="24" customWidth="1"/>
    <col min="7685" max="7685" width="6.7109375" style="24" customWidth="1"/>
    <col min="7686" max="7686" width="8.42578125" style="24" customWidth="1"/>
    <col min="7687" max="7687" width="10" style="24" customWidth="1"/>
    <col min="7688" max="7688" width="15.7109375" style="24" customWidth="1"/>
    <col min="7689" max="7689" width="18.140625" style="24" customWidth="1"/>
    <col min="7690" max="7690" width="19.28515625" style="24" customWidth="1"/>
    <col min="7691" max="7691" width="13.85546875" style="24" customWidth="1"/>
    <col min="7692" max="7694" width="11.5703125" style="24" customWidth="1"/>
    <col min="7695" max="7695" width="10.28515625" style="24" bestFit="1" customWidth="1"/>
    <col min="7696" max="7696" width="15.85546875" style="24" customWidth="1"/>
    <col min="7697" max="7697" width="17" style="24" customWidth="1"/>
    <col min="7698" max="7698" width="17.42578125" style="24" customWidth="1"/>
    <col min="7699" max="7699" width="10.140625" style="24" bestFit="1" customWidth="1"/>
    <col min="7700" max="7936" width="9" style="24"/>
    <col min="7937" max="7937" width="4.140625" style="24" customWidth="1"/>
    <col min="7938" max="7938" width="4.28515625" style="24" customWidth="1"/>
    <col min="7939" max="7939" width="13.5703125" style="24" customWidth="1"/>
    <col min="7940" max="7940" width="65" style="24" customWidth="1"/>
    <col min="7941" max="7941" width="6.7109375" style="24" customWidth="1"/>
    <col min="7942" max="7942" width="8.42578125" style="24" customWidth="1"/>
    <col min="7943" max="7943" width="10" style="24" customWidth="1"/>
    <col min="7944" max="7944" width="15.7109375" style="24" customWidth="1"/>
    <col min="7945" max="7945" width="18.140625" style="24" customWidth="1"/>
    <col min="7946" max="7946" width="19.28515625" style="24" customWidth="1"/>
    <col min="7947" max="7947" width="13.85546875" style="24" customWidth="1"/>
    <col min="7948" max="7950" width="11.5703125" style="24" customWidth="1"/>
    <col min="7951" max="7951" width="10.28515625" style="24" bestFit="1" customWidth="1"/>
    <col min="7952" max="7952" width="15.85546875" style="24" customWidth="1"/>
    <col min="7953" max="7953" width="17" style="24" customWidth="1"/>
    <col min="7954" max="7954" width="17.42578125" style="24" customWidth="1"/>
    <col min="7955" max="7955" width="10.140625" style="24" bestFit="1" customWidth="1"/>
    <col min="7956" max="8192" width="9" style="24"/>
    <col min="8193" max="8193" width="4.140625" style="24" customWidth="1"/>
    <col min="8194" max="8194" width="4.28515625" style="24" customWidth="1"/>
    <col min="8195" max="8195" width="13.5703125" style="24" customWidth="1"/>
    <col min="8196" max="8196" width="65" style="24" customWidth="1"/>
    <col min="8197" max="8197" width="6.7109375" style="24" customWidth="1"/>
    <col min="8198" max="8198" width="8.42578125" style="24" customWidth="1"/>
    <col min="8199" max="8199" width="10" style="24" customWidth="1"/>
    <col min="8200" max="8200" width="15.7109375" style="24" customWidth="1"/>
    <col min="8201" max="8201" width="18.140625" style="24" customWidth="1"/>
    <col min="8202" max="8202" width="19.28515625" style="24" customWidth="1"/>
    <col min="8203" max="8203" width="13.85546875" style="24" customWidth="1"/>
    <col min="8204" max="8206" width="11.5703125" style="24" customWidth="1"/>
    <col min="8207" max="8207" width="10.28515625" style="24" bestFit="1" customWidth="1"/>
    <col min="8208" max="8208" width="15.85546875" style="24" customWidth="1"/>
    <col min="8209" max="8209" width="17" style="24" customWidth="1"/>
    <col min="8210" max="8210" width="17.42578125" style="24" customWidth="1"/>
    <col min="8211" max="8211" width="10.140625" style="24" bestFit="1" customWidth="1"/>
    <col min="8212" max="8448" width="9" style="24"/>
    <col min="8449" max="8449" width="4.140625" style="24" customWidth="1"/>
    <col min="8450" max="8450" width="4.28515625" style="24" customWidth="1"/>
    <col min="8451" max="8451" width="13.5703125" style="24" customWidth="1"/>
    <col min="8452" max="8452" width="65" style="24" customWidth="1"/>
    <col min="8453" max="8453" width="6.7109375" style="24" customWidth="1"/>
    <col min="8454" max="8454" width="8.42578125" style="24" customWidth="1"/>
    <col min="8455" max="8455" width="10" style="24" customWidth="1"/>
    <col min="8456" max="8456" width="15.7109375" style="24" customWidth="1"/>
    <col min="8457" max="8457" width="18.140625" style="24" customWidth="1"/>
    <col min="8458" max="8458" width="19.28515625" style="24" customWidth="1"/>
    <col min="8459" max="8459" width="13.85546875" style="24" customWidth="1"/>
    <col min="8460" max="8462" width="11.5703125" style="24" customWidth="1"/>
    <col min="8463" max="8463" width="10.28515625" style="24" bestFit="1" customWidth="1"/>
    <col min="8464" max="8464" width="15.85546875" style="24" customWidth="1"/>
    <col min="8465" max="8465" width="17" style="24" customWidth="1"/>
    <col min="8466" max="8466" width="17.42578125" style="24" customWidth="1"/>
    <col min="8467" max="8467" width="10.140625" style="24" bestFit="1" customWidth="1"/>
    <col min="8468" max="8704" width="9" style="24"/>
    <col min="8705" max="8705" width="4.140625" style="24" customWidth="1"/>
    <col min="8706" max="8706" width="4.28515625" style="24" customWidth="1"/>
    <col min="8707" max="8707" width="13.5703125" style="24" customWidth="1"/>
    <col min="8708" max="8708" width="65" style="24" customWidth="1"/>
    <col min="8709" max="8709" width="6.7109375" style="24" customWidth="1"/>
    <col min="8710" max="8710" width="8.42578125" style="24" customWidth="1"/>
    <col min="8711" max="8711" width="10" style="24" customWidth="1"/>
    <col min="8712" max="8712" width="15.7109375" style="24" customWidth="1"/>
    <col min="8713" max="8713" width="18.140625" style="24" customWidth="1"/>
    <col min="8714" max="8714" width="19.28515625" style="24" customWidth="1"/>
    <col min="8715" max="8715" width="13.85546875" style="24" customWidth="1"/>
    <col min="8716" max="8718" width="11.5703125" style="24" customWidth="1"/>
    <col min="8719" max="8719" width="10.28515625" style="24" bestFit="1" customWidth="1"/>
    <col min="8720" max="8720" width="15.85546875" style="24" customWidth="1"/>
    <col min="8721" max="8721" width="17" style="24" customWidth="1"/>
    <col min="8722" max="8722" width="17.42578125" style="24" customWidth="1"/>
    <col min="8723" max="8723" width="10.140625" style="24" bestFit="1" customWidth="1"/>
    <col min="8724" max="8960" width="9" style="24"/>
    <col min="8961" max="8961" width="4.140625" style="24" customWidth="1"/>
    <col min="8962" max="8962" width="4.28515625" style="24" customWidth="1"/>
    <col min="8963" max="8963" width="13.5703125" style="24" customWidth="1"/>
    <col min="8964" max="8964" width="65" style="24" customWidth="1"/>
    <col min="8965" max="8965" width="6.7109375" style="24" customWidth="1"/>
    <col min="8966" max="8966" width="8.42578125" style="24" customWidth="1"/>
    <col min="8967" max="8967" width="10" style="24" customWidth="1"/>
    <col min="8968" max="8968" width="15.7109375" style="24" customWidth="1"/>
    <col min="8969" max="8969" width="18.140625" style="24" customWidth="1"/>
    <col min="8970" max="8970" width="19.28515625" style="24" customWidth="1"/>
    <col min="8971" max="8971" width="13.85546875" style="24" customWidth="1"/>
    <col min="8972" max="8974" width="11.5703125" style="24" customWidth="1"/>
    <col min="8975" max="8975" width="10.28515625" style="24" bestFit="1" customWidth="1"/>
    <col min="8976" max="8976" width="15.85546875" style="24" customWidth="1"/>
    <col min="8977" max="8977" width="17" style="24" customWidth="1"/>
    <col min="8978" max="8978" width="17.42578125" style="24" customWidth="1"/>
    <col min="8979" max="8979" width="10.140625" style="24" bestFit="1" customWidth="1"/>
    <col min="8980" max="9216" width="9" style="24"/>
    <col min="9217" max="9217" width="4.140625" style="24" customWidth="1"/>
    <col min="9218" max="9218" width="4.28515625" style="24" customWidth="1"/>
    <col min="9219" max="9219" width="13.5703125" style="24" customWidth="1"/>
    <col min="9220" max="9220" width="65" style="24" customWidth="1"/>
    <col min="9221" max="9221" width="6.7109375" style="24" customWidth="1"/>
    <col min="9222" max="9222" width="8.42578125" style="24" customWidth="1"/>
    <col min="9223" max="9223" width="10" style="24" customWidth="1"/>
    <col min="9224" max="9224" width="15.7109375" style="24" customWidth="1"/>
    <col min="9225" max="9225" width="18.140625" style="24" customWidth="1"/>
    <col min="9226" max="9226" width="19.28515625" style="24" customWidth="1"/>
    <col min="9227" max="9227" width="13.85546875" style="24" customWidth="1"/>
    <col min="9228" max="9230" width="11.5703125" style="24" customWidth="1"/>
    <col min="9231" max="9231" width="10.28515625" style="24" bestFit="1" customWidth="1"/>
    <col min="9232" max="9232" width="15.85546875" style="24" customWidth="1"/>
    <col min="9233" max="9233" width="17" style="24" customWidth="1"/>
    <col min="9234" max="9234" width="17.42578125" style="24" customWidth="1"/>
    <col min="9235" max="9235" width="10.140625" style="24" bestFit="1" customWidth="1"/>
    <col min="9236" max="9472" width="9" style="24"/>
    <col min="9473" max="9473" width="4.140625" style="24" customWidth="1"/>
    <col min="9474" max="9474" width="4.28515625" style="24" customWidth="1"/>
    <col min="9475" max="9475" width="13.5703125" style="24" customWidth="1"/>
    <col min="9476" max="9476" width="65" style="24" customWidth="1"/>
    <col min="9477" max="9477" width="6.7109375" style="24" customWidth="1"/>
    <col min="9478" max="9478" width="8.42578125" style="24" customWidth="1"/>
    <col min="9479" max="9479" width="10" style="24" customWidth="1"/>
    <col min="9480" max="9480" width="15.7109375" style="24" customWidth="1"/>
    <col min="9481" max="9481" width="18.140625" style="24" customWidth="1"/>
    <col min="9482" max="9482" width="19.28515625" style="24" customWidth="1"/>
    <col min="9483" max="9483" width="13.85546875" style="24" customWidth="1"/>
    <col min="9484" max="9486" width="11.5703125" style="24" customWidth="1"/>
    <col min="9487" max="9487" width="10.28515625" style="24" bestFit="1" customWidth="1"/>
    <col min="9488" max="9488" width="15.85546875" style="24" customWidth="1"/>
    <col min="9489" max="9489" width="17" style="24" customWidth="1"/>
    <col min="9490" max="9490" width="17.42578125" style="24" customWidth="1"/>
    <col min="9491" max="9491" width="10.140625" style="24" bestFit="1" customWidth="1"/>
    <col min="9492" max="9728" width="9" style="24"/>
    <col min="9729" max="9729" width="4.140625" style="24" customWidth="1"/>
    <col min="9730" max="9730" width="4.28515625" style="24" customWidth="1"/>
    <col min="9731" max="9731" width="13.5703125" style="24" customWidth="1"/>
    <col min="9732" max="9732" width="65" style="24" customWidth="1"/>
    <col min="9733" max="9733" width="6.7109375" style="24" customWidth="1"/>
    <col min="9734" max="9734" width="8.42578125" style="24" customWidth="1"/>
    <col min="9735" max="9735" width="10" style="24" customWidth="1"/>
    <col min="9736" max="9736" width="15.7109375" style="24" customWidth="1"/>
    <col min="9737" max="9737" width="18.140625" style="24" customWidth="1"/>
    <col min="9738" max="9738" width="19.28515625" style="24" customWidth="1"/>
    <col min="9739" max="9739" width="13.85546875" style="24" customWidth="1"/>
    <col min="9740" max="9742" width="11.5703125" style="24" customWidth="1"/>
    <col min="9743" max="9743" width="10.28515625" style="24" bestFit="1" customWidth="1"/>
    <col min="9744" max="9744" width="15.85546875" style="24" customWidth="1"/>
    <col min="9745" max="9745" width="17" style="24" customWidth="1"/>
    <col min="9746" max="9746" width="17.42578125" style="24" customWidth="1"/>
    <col min="9747" max="9747" width="10.140625" style="24" bestFit="1" customWidth="1"/>
    <col min="9748" max="9984" width="9" style="24"/>
    <col min="9985" max="9985" width="4.140625" style="24" customWidth="1"/>
    <col min="9986" max="9986" width="4.28515625" style="24" customWidth="1"/>
    <col min="9987" max="9987" width="13.5703125" style="24" customWidth="1"/>
    <col min="9988" max="9988" width="65" style="24" customWidth="1"/>
    <col min="9989" max="9989" width="6.7109375" style="24" customWidth="1"/>
    <col min="9990" max="9990" width="8.42578125" style="24" customWidth="1"/>
    <col min="9991" max="9991" width="10" style="24" customWidth="1"/>
    <col min="9992" max="9992" width="15.7109375" style="24" customWidth="1"/>
    <col min="9993" max="9993" width="18.140625" style="24" customWidth="1"/>
    <col min="9994" max="9994" width="19.28515625" style="24" customWidth="1"/>
    <col min="9995" max="9995" width="13.85546875" style="24" customWidth="1"/>
    <col min="9996" max="9998" width="11.5703125" style="24" customWidth="1"/>
    <col min="9999" max="9999" width="10.28515625" style="24" bestFit="1" customWidth="1"/>
    <col min="10000" max="10000" width="15.85546875" style="24" customWidth="1"/>
    <col min="10001" max="10001" width="17" style="24" customWidth="1"/>
    <col min="10002" max="10002" width="17.42578125" style="24" customWidth="1"/>
    <col min="10003" max="10003" width="10.140625" style="24" bestFit="1" customWidth="1"/>
    <col min="10004" max="10240" width="9" style="24"/>
    <col min="10241" max="10241" width="4.140625" style="24" customWidth="1"/>
    <col min="10242" max="10242" width="4.28515625" style="24" customWidth="1"/>
    <col min="10243" max="10243" width="13.5703125" style="24" customWidth="1"/>
    <col min="10244" max="10244" width="65" style="24" customWidth="1"/>
    <col min="10245" max="10245" width="6.7109375" style="24" customWidth="1"/>
    <col min="10246" max="10246" width="8.42578125" style="24" customWidth="1"/>
    <col min="10247" max="10247" width="10" style="24" customWidth="1"/>
    <col min="10248" max="10248" width="15.7109375" style="24" customWidth="1"/>
    <col min="10249" max="10249" width="18.140625" style="24" customWidth="1"/>
    <col min="10250" max="10250" width="19.28515625" style="24" customWidth="1"/>
    <col min="10251" max="10251" width="13.85546875" style="24" customWidth="1"/>
    <col min="10252" max="10254" width="11.5703125" style="24" customWidth="1"/>
    <col min="10255" max="10255" width="10.28515625" style="24" bestFit="1" customWidth="1"/>
    <col min="10256" max="10256" width="15.85546875" style="24" customWidth="1"/>
    <col min="10257" max="10257" width="17" style="24" customWidth="1"/>
    <col min="10258" max="10258" width="17.42578125" style="24" customWidth="1"/>
    <col min="10259" max="10259" width="10.140625" style="24" bestFit="1" customWidth="1"/>
    <col min="10260" max="10496" width="9" style="24"/>
    <col min="10497" max="10497" width="4.140625" style="24" customWidth="1"/>
    <col min="10498" max="10498" width="4.28515625" style="24" customWidth="1"/>
    <col min="10499" max="10499" width="13.5703125" style="24" customWidth="1"/>
    <col min="10500" max="10500" width="65" style="24" customWidth="1"/>
    <col min="10501" max="10501" width="6.7109375" style="24" customWidth="1"/>
    <col min="10502" max="10502" width="8.42578125" style="24" customWidth="1"/>
    <col min="10503" max="10503" width="10" style="24" customWidth="1"/>
    <col min="10504" max="10504" width="15.7109375" style="24" customWidth="1"/>
    <col min="10505" max="10505" width="18.140625" style="24" customWidth="1"/>
    <col min="10506" max="10506" width="19.28515625" style="24" customWidth="1"/>
    <col min="10507" max="10507" width="13.85546875" style="24" customWidth="1"/>
    <col min="10508" max="10510" width="11.5703125" style="24" customWidth="1"/>
    <col min="10511" max="10511" width="10.28515625" style="24" bestFit="1" customWidth="1"/>
    <col min="10512" max="10512" width="15.85546875" style="24" customWidth="1"/>
    <col min="10513" max="10513" width="17" style="24" customWidth="1"/>
    <col min="10514" max="10514" width="17.42578125" style="24" customWidth="1"/>
    <col min="10515" max="10515" width="10.140625" style="24" bestFit="1" customWidth="1"/>
    <col min="10516" max="10752" width="9" style="24"/>
    <col min="10753" max="10753" width="4.140625" style="24" customWidth="1"/>
    <col min="10754" max="10754" width="4.28515625" style="24" customWidth="1"/>
    <col min="10755" max="10755" width="13.5703125" style="24" customWidth="1"/>
    <col min="10756" max="10756" width="65" style="24" customWidth="1"/>
    <col min="10757" max="10757" width="6.7109375" style="24" customWidth="1"/>
    <col min="10758" max="10758" width="8.42578125" style="24" customWidth="1"/>
    <col min="10759" max="10759" width="10" style="24" customWidth="1"/>
    <col min="10760" max="10760" width="15.7109375" style="24" customWidth="1"/>
    <col min="10761" max="10761" width="18.140625" style="24" customWidth="1"/>
    <col min="10762" max="10762" width="19.28515625" style="24" customWidth="1"/>
    <col min="10763" max="10763" width="13.85546875" style="24" customWidth="1"/>
    <col min="10764" max="10766" width="11.5703125" style="24" customWidth="1"/>
    <col min="10767" max="10767" width="10.28515625" style="24" bestFit="1" customWidth="1"/>
    <col min="10768" max="10768" width="15.85546875" style="24" customWidth="1"/>
    <col min="10769" max="10769" width="17" style="24" customWidth="1"/>
    <col min="10770" max="10770" width="17.42578125" style="24" customWidth="1"/>
    <col min="10771" max="10771" width="10.140625" style="24" bestFit="1" customWidth="1"/>
    <col min="10772" max="11008" width="9" style="24"/>
    <col min="11009" max="11009" width="4.140625" style="24" customWidth="1"/>
    <col min="11010" max="11010" width="4.28515625" style="24" customWidth="1"/>
    <col min="11011" max="11011" width="13.5703125" style="24" customWidth="1"/>
    <col min="11012" max="11012" width="65" style="24" customWidth="1"/>
    <col min="11013" max="11013" width="6.7109375" style="24" customWidth="1"/>
    <col min="11014" max="11014" width="8.42578125" style="24" customWidth="1"/>
    <col min="11015" max="11015" width="10" style="24" customWidth="1"/>
    <col min="11016" max="11016" width="15.7109375" style="24" customWidth="1"/>
    <col min="11017" max="11017" width="18.140625" style="24" customWidth="1"/>
    <col min="11018" max="11018" width="19.28515625" style="24" customWidth="1"/>
    <col min="11019" max="11019" width="13.85546875" style="24" customWidth="1"/>
    <col min="11020" max="11022" width="11.5703125" style="24" customWidth="1"/>
    <col min="11023" max="11023" width="10.28515625" style="24" bestFit="1" customWidth="1"/>
    <col min="11024" max="11024" width="15.85546875" style="24" customWidth="1"/>
    <col min="11025" max="11025" width="17" style="24" customWidth="1"/>
    <col min="11026" max="11026" width="17.42578125" style="24" customWidth="1"/>
    <col min="11027" max="11027" width="10.140625" style="24" bestFit="1" customWidth="1"/>
    <col min="11028" max="11264" width="9" style="24"/>
    <col min="11265" max="11265" width="4.140625" style="24" customWidth="1"/>
    <col min="11266" max="11266" width="4.28515625" style="24" customWidth="1"/>
    <col min="11267" max="11267" width="13.5703125" style="24" customWidth="1"/>
    <col min="11268" max="11268" width="65" style="24" customWidth="1"/>
    <col min="11269" max="11269" width="6.7109375" style="24" customWidth="1"/>
    <col min="11270" max="11270" width="8.42578125" style="24" customWidth="1"/>
    <col min="11271" max="11271" width="10" style="24" customWidth="1"/>
    <col min="11272" max="11272" width="15.7109375" style="24" customWidth="1"/>
    <col min="11273" max="11273" width="18.140625" style="24" customWidth="1"/>
    <col min="11274" max="11274" width="19.28515625" style="24" customWidth="1"/>
    <col min="11275" max="11275" width="13.85546875" style="24" customWidth="1"/>
    <col min="11276" max="11278" width="11.5703125" style="24" customWidth="1"/>
    <col min="11279" max="11279" width="10.28515625" style="24" bestFit="1" customWidth="1"/>
    <col min="11280" max="11280" width="15.85546875" style="24" customWidth="1"/>
    <col min="11281" max="11281" width="17" style="24" customWidth="1"/>
    <col min="11282" max="11282" width="17.42578125" style="24" customWidth="1"/>
    <col min="11283" max="11283" width="10.140625" style="24" bestFit="1" customWidth="1"/>
    <col min="11284" max="11520" width="9" style="24"/>
    <col min="11521" max="11521" width="4.140625" style="24" customWidth="1"/>
    <col min="11522" max="11522" width="4.28515625" style="24" customWidth="1"/>
    <col min="11523" max="11523" width="13.5703125" style="24" customWidth="1"/>
    <col min="11524" max="11524" width="65" style="24" customWidth="1"/>
    <col min="11525" max="11525" width="6.7109375" style="24" customWidth="1"/>
    <col min="11526" max="11526" width="8.42578125" style="24" customWidth="1"/>
    <col min="11527" max="11527" width="10" style="24" customWidth="1"/>
    <col min="11528" max="11528" width="15.7109375" style="24" customWidth="1"/>
    <col min="11529" max="11529" width="18.140625" style="24" customWidth="1"/>
    <col min="11530" max="11530" width="19.28515625" style="24" customWidth="1"/>
    <col min="11531" max="11531" width="13.85546875" style="24" customWidth="1"/>
    <col min="11532" max="11534" width="11.5703125" style="24" customWidth="1"/>
    <col min="11535" max="11535" width="10.28515625" style="24" bestFit="1" customWidth="1"/>
    <col min="11536" max="11536" width="15.85546875" style="24" customWidth="1"/>
    <col min="11537" max="11537" width="17" style="24" customWidth="1"/>
    <col min="11538" max="11538" width="17.42578125" style="24" customWidth="1"/>
    <col min="11539" max="11539" width="10.140625" style="24" bestFit="1" customWidth="1"/>
    <col min="11540" max="11776" width="9" style="24"/>
    <col min="11777" max="11777" width="4.140625" style="24" customWidth="1"/>
    <col min="11778" max="11778" width="4.28515625" style="24" customWidth="1"/>
    <col min="11779" max="11779" width="13.5703125" style="24" customWidth="1"/>
    <col min="11780" max="11780" width="65" style="24" customWidth="1"/>
    <col min="11781" max="11781" width="6.7109375" style="24" customWidth="1"/>
    <col min="11782" max="11782" width="8.42578125" style="24" customWidth="1"/>
    <col min="11783" max="11783" width="10" style="24" customWidth="1"/>
    <col min="11784" max="11784" width="15.7109375" style="24" customWidth="1"/>
    <col min="11785" max="11785" width="18.140625" style="24" customWidth="1"/>
    <col min="11786" max="11786" width="19.28515625" style="24" customWidth="1"/>
    <col min="11787" max="11787" width="13.85546875" style="24" customWidth="1"/>
    <col min="11788" max="11790" width="11.5703125" style="24" customWidth="1"/>
    <col min="11791" max="11791" width="10.28515625" style="24" bestFit="1" customWidth="1"/>
    <col min="11792" max="11792" width="15.85546875" style="24" customWidth="1"/>
    <col min="11793" max="11793" width="17" style="24" customWidth="1"/>
    <col min="11794" max="11794" width="17.42578125" style="24" customWidth="1"/>
    <col min="11795" max="11795" width="10.140625" style="24" bestFit="1" customWidth="1"/>
    <col min="11796" max="12032" width="9" style="24"/>
    <col min="12033" max="12033" width="4.140625" style="24" customWidth="1"/>
    <col min="12034" max="12034" width="4.28515625" style="24" customWidth="1"/>
    <col min="12035" max="12035" width="13.5703125" style="24" customWidth="1"/>
    <col min="12036" max="12036" width="65" style="24" customWidth="1"/>
    <col min="12037" max="12037" width="6.7109375" style="24" customWidth="1"/>
    <col min="12038" max="12038" width="8.42578125" style="24" customWidth="1"/>
    <col min="12039" max="12039" width="10" style="24" customWidth="1"/>
    <col min="12040" max="12040" width="15.7109375" style="24" customWidth="1"/>
    <col min="12041" max="12041" width="18.140625" style="24" customWidth="1"/>
    <col min="12042" max="12042" width="19.28515625" style="24" customWidth="1"/>
    <col min="12043" max="12043" width="13.85546875" style="24" customWidth="1"/>
    <col min="12044" max="12046" width="11.5703125" style="24" customWidth="1"/>
    <col min="12047" max="12047" width="10.28515625" style="24" bestFit="1" customWidth="1"/>
    <col min="12048" max="12048" width="15.85546875" style="24" customWidth="1"/>
    <col min="12049" max="12049" width="17" style="24" customWidth="1"/>
    <col min="12050" max="12050" width="17.42578125" style="24" customWidth="1"/>
    <col min="12051" max="12051" width="10.140625" style="24" bestFit="1" customWidth="1"/>
    <col min="12052" max="12288" width="9" style="24"/>
    <col min="12289" max="12289" width="4.140625" style="24" customWidth="1"/>
    <col min="12290" max="12290" width="4.28515625" style="24" customWidth="1"/>
    <col min="12291" max="12291" width="13.5703125" style="24" customWidth="1"/>
    <col min="12292" max="12292" width="65" style="24" customWidth="1"/>
    <col min="12293" max="12293" width="6.7109375" style="24" customWidth="1"/>
    <col min="12294" max="12294" width="8.42578125" style="24" customWidth="1"/>
    <col min="12295" max="12295" width="10" style="24" customWidth="1"/>
    <col min="12296" max="12296" width="15.7109375" style="24" customWidth="1"/>
    <col min="12297" max="12297" width="18.140625" style="24" customWidth="1"/>
    <col min="12298" max="12298" width="19.28515625" style="24" customWidth="1"/>
    <col min="12299" max="12299" width="13.85546875" style="24" customWidth="1"/>
    <col min="12300" max="12302" width="11.5703125" style="24" customWidth="1"/>
    <col min="12303" max="12303" width="10.28515625" style="24" bestFit="1" customWidth="1"/>
    <col min="12304" max="12304" width="15.85546875" style="24" customWidth="1"/>
    <col min="12305" max="12305" width="17" style="24" customWidth="1"/>
    <col min="12306" max="12306" width="17.42578125" style="24" customWidth="1"/>
    <col min="12307" max="12307" width="10.140625" style="24" bestFit="1" customWidth="1"/>
    <col min="12308" max="12544" width="9" style="24"/>
    <col min="12545" max="12545" width="4.140625" style="24" customWidth="1"/>
    <col min="12546" max="12546" width="4.28515625" style="24" customWidth="1"/>
    <col min="12547" max="12547" width="13.5703125" style="24" customWidth="1"/>
    <col min="12548" max="12548" width="65" style="24" customWidth="1"/>
    <col min="12549" max="12549" width="6.7109375" style="24" customWidth="1"/>
    <col min="12550" max="12550" width="8.42578125" style="24" customWidth="1"/>
    <col min="12551" max="12551" width="10" style="24" customWidth="1"/>
    <col min="12552" max="12552" width="15.7109375" style="24" customWidth="1"/>
    <col min="12553" max="12553" width="18.140625" style="24" customWidth="1"/>
    <col min="12554" max="12554" width="19.28515625" style="24" customWidth="1"/>
    <col min="12555" max="12555" width="13.85546875" style="24" customWidth="1"/>
    <col min="12556" max="12558" width="11.5703125" style="24" customWidth="1"/>
    <col min="12559" max="12559" width="10.28515625" style="24" bestFit="1" customWidth="1"/>
    <col min="12560" max="12560" width="15.85546875" style="24" customWidth="1"/>
    <col min="12561" max="12561" width="17" style="24" customWidth="1"/>
    <col min="12562" max="12562" width="17.42578125" style="24" customWidth="1"/>
    <col min="12563" max="12563" width="10.140625" style="24" bestFit="1" customWidth="1"/>
    <col min="12564" max="12800" width="9" style="24"/>
    <col min="12801" max="12801" width="4.140625" style="24" customWidth="1"/>
    <col min="12802" max="12802" width="4.28515625" style="24" customWidth="1"/>
    <col min="12803" max="12803" width="13.5703125" style="24" customWidth="1"/>
    <col min="12804" max="12804" width="65" style="24" customWidth="1"/>
    <col min="12805" max="12805" width="6.7109375" style="24" customWidth="1"/>
    <col min="12806" max="12806" width="8.42578125" style="24" customWidth="1"/>
    <col min="12807" max="12807" width="10" style="24" customWidth="1"/>
    <col min="12808" max="12808" width="15.7109375" style="24" customWidth="1"/>
    <col min="12809" max="12809" width="18.140625" style="24" customWidth="1"/>
    <col min="12810" max="12810" width="19.28515625" style="24" customWidth="1"/>
    <col min="12811" max="12811" width="13.85546875" style="24" customWidth="1"/>
    <col min="12812" max="12814" width="11.5703125" style="24" customWidth="1"/>
    <col min="12815" max="12815" width="10.28515625" style="24" bestFit="1" customWidth="1"/>
    <col min="12816" max="12816" width="15.85546875" style="24" customWidth="1"/>
    <col min="12817" max="12817" width="17" style="24" customWidth="1"/>
    <col min="12818" max="12818" width="17.42578125" style="24" customWidth="1"/>
    <col min="12819" max="12819" width="10.140625" style="24" bestFit="1" customWidth="1"/>
    <col min="12820" max="13056" width="9" style="24"/>
    <col min="13057" max="13057" width="4.140625" style="24" customWidth="1"/>
    <col min="13058" max="13058" width="4.28515625" style="24" customWidth="1"/>
    <col min="13059" max="13059" width="13.5703125" style="24" customWidth="1"/>
    <col min="13060" max="13060" width="65" style="24" customWidth="1"/>
    <col min="13061" max="13061" width="6.7109375" style="24" customWidth="1"/>
    <col min="13062" max="13062" width="8.42578125" style="24" customWidth="1"/>
    <col min="13063" max="13063" width="10" style="24" customWidth="1"/>
    <col min="13064" max="13064" width="15.7109375" style="24" customWidth="1"/>
    <col min="13065" max="13065" width="18.140625" style="24" customWidth="1"/>
    <col min="13066" max="13066" width="19.28515625" style="24" customWidth="1"/>
    <col min="13067" max="13067" width="13.85546875" style="24" customWidth="1"/>
    <col min="13068" max="13070" width="11.5703125" style="24" customWidth="1"/>
    <col min="13071" max="13071" width="10.28515625" style="24" bestFit="1" customWidth="1"/>
    <col min="13072" max="13072" width="15.85546875" style="24" customWidth="1"/>
    <col min="13073" max="13073" width="17" style="24" customWidth="1"/>
    <col min="13074" max="13074" width="17.42578125" style="24" customWidth="1"/>
    <col min="13075" max="13075" width="10.140625" style="24" bestFit="1" customWidth="1"/>
    <col min="13076" max="13312" width="9" style="24"/>
    <col min="13313" max="13313" width="4.140625" style="24" customWidth="1"/>
    <col min="13314" max="13314" width="4.28515625" style="24" customWidth="1"/>
    <col min="13315" max="13315" width="13.5703125" style="24" customWidth="1"/>
    <col min="13316" max="13316" width="65" style="24" customWidth="1"/>
    <col min="13317" max="13317" width="6.7109375" style="24" customWidth="1"/>
    <col min="13318" max="13318" width="8.42578125" style="24" customWidth="1"/>
    <col min="13319" max="13319" width="10" style="24" customWidth="1"/>
    <col min="13320" max="13320" width="15.7109375" style="24" customWidth="1"/>
    <col min="13321" max="13321" width="18.140625" style="24" customWidth="1"/>
    <col min="13322" max="13322" width="19.28515625" style="24" customWidth="1"/>
    <col min="13323" max="13323" width="13.85546875" style="24" customWidth="1"/>
    <col min="13324" max="13326" width="11.5703125" style="24" customWidth="1"/>
    <col min="13327" max="13327" width="10.28515625" style="24" bestFit="1" customWidth="1"/>
    <col min="13328" max="13328" width="15.85546875" style="24" customWidth="1"/>
    <col min="13329" max="13329" width="17" style="24" customWidth="1"/>
    <col min="13330" max="13330" width="17.42578125" style="24" customWidth="1"/>
    <col min="13331" max="13331" width="10.140625" style="24" bestFit="1" customWidth="1"/>
    <col min="13332" max="13568" width="9" style="24"/>
    <col min="13569" max="13569" width="4.140625" style="24" customWidth="1"/>
    <col min="13570" max="13570" width="4.28515625" style="24" customWidth="1"/>
    <col min="13571" max="13571" width="13.5703125" style="24" customWidth="1"/>
    <col min="13572" max="13572" width="65" style="24" customWidth="1"/>
    <col min="13573" max="13573" width="6.7109375" style="24" customWidth="1"/>
    <col min="13574" max="13574" width="8.42578125" style="24" customWidth="1"/>
    <col min="13575" max="13575" width="10" style="24" customWidth="1"/>
    <col min="13576" max="13576" width="15.7109375" style="24" customWidth="1"/>
    <col min="13577" max="13577" width="18.140625" style="24" customWidth="1"/>
    <col min="13578" max="13578" width="19.28515625" style="24" customWidth="1"/>
    <col min="13579" max="13579" width="13.85546875" style="24" customWidth="1"/>
    <col min="13580" max="13582" width="11.5703125" style="24" customWidth="1"/>
    <col min="13583" max="13583" width="10.28515625" style="24" bestFit="1" customWidth="1"/>
    <col min="13584" max="13584" width="15.85546875" style="24" customWidth="1"/>
    <col min="13585" max="13585" width="17" style="24" customWidth="1"/>
    <col min="13586" max="13586" width="17.42578125" style="24" customWidth="1"/>
    <col min="13587" max="13587" width="10.140625" style="24" bestFit="1" customWidth="1"/>
    <col min="13588" max="13824" width="9" style="24"/>
    <col min="13825" max="13825" width="4.140625" style="24" customWidth="1"/>
    <col min="13826" max="13826" width="4.28515625" style="24" customWidth="1"/>
    <col min="13827" max="13827" width="13.5703125" style="24" customWidth="1"/>
    <col min="13828" max="13828" width="65" style="24" customWidth="1"/>
    <col min="13829" max="13829" width="6.7109375" style="24" customWidth="1"/>
    <col min="13830" max="13830" width="8.42578125" style="24" customWidth="1"/>
    <col min="13831" max="13831" width="10" style="24" customWidth="1"/>
    <col min="13832" max="13832" width="15.7109375" style="24" customWidth="1"/>
    <col min="13833" max="13833" width="18.140625" style="24" customWidth="1"/>
    <col min="13834" max="13834" width="19.28515625" style="24" customWidth="1"/>
    <col min="13835" max="13835" width="13.85546875" style="24" customWidth="1"/>
    <col min="13836" max="13838" width="11.5703125" style="24" customWidth="1"/>
    <col min="13839" max="13839" width="10.28515625" style="24" bestFit="1" customWidth="1"/>
    <col min="13840" max="13840" width="15.85546875" style="24" customWidth="1"/>
    <col min="13841" max="13841" width="17" style="24" customWidth="1"/>
    <col min="13842" max="13842" width="17.42578125" style="24" customWidth="1"/>
    <col min="13843" max="13843" width="10.140625" style="24" bestFit="1" customWidth="1"/>
    <col min="13844" max="14080" width="9" style="24"/>
    <col min="14081" max="14081" width="4.140625" style="24" customWidth="1"/>
    <col min="14082" max="14082" width="4.28515625" style="24" customWidth="1"/>
    <col min="14083" max="14083" width="13.5703125" style="24" customWidth="1"/>
    <col min="14084" max="14084" width="65" style="24" customWidth="1"/>
    <col min="14085" max="14085" width="6.7109375" style="24" customWidth="1"/>
    <col min="14086" max="14086" width="8.42578125" style="24" customWidth="1"/>
    <col min="14087" max="14087" width="10" style="24" customWidth="1"/>
    <col min="14088" max="14088" width="15.7109375" style="24" customWidth="1"/>
    <col min="14089" max="14089" width="18.140625" style="24" customWidth="1"/>
    <col min="14090" max="14090" width="19.28515625" style="24" customWidth="1"/>
    <col min="14091" max="14091" width="13.85546875" style="24" customWidth="1"/>
    <col min="14092" max="14094" width="11.5703125" style="24" customWidth="1"/>
    <col min="14095" max="14095" width="10.28515625" style="24" bestFit="1" customWidth="1"/>
    <col min="14096" max="14096" width="15.85546875" style="24" customWidth="1"/>
    <col min="14097" max="14097" width="17" style="24" customWidth="1"/>
    <col min="14098" max="14098" width="17.42578125" style="24" customWidth="1"/>
    <col min="14099" max="14099" width="10.140625" style="24" bestFit="1" customWidth="1"/>
    <col min="14100" max="14336" width="9" style="24"/>
    <col min="14337" max="14337" width="4.140625" style="24" customWidth="1"/>
    <col min="14338" max="14338" width="4.28515625" style="24" customWidth="1"/>
    <col min="14339" max="14339" width="13.5703125" style="24" customWidth="1"/>
    <col min="14340" max="14340" width="65" style="24" customWidth="1"/>
    <col min="14341" max="14341" width="6.7109375" style="24" customWidth="1"/>
    <col min="14342" max="14342" width="8.42578125" style="24" customWidth="1"/>
    <col min="14343" max="14343" width="10" style="24" customWidth="1"/>
    <col min="14344" max="14344" width="15.7109375" style="24" customWidth="1"/>
    <col min="14345" max="14345" width="18.140625" style="24" customWidth="1"/>
    <col min="14346" max="14346" width="19.28515625" style="24" customWidth="1"/>
    <col min="14347" max="14347" width="13.85546875" style="24" customWidth="1"/>
    <col min="14348" max="14350" width="11.5703125" style="24" customWidth="1"/>
    <col min="14351" max="14351" width="10.28515625" style="24" bestFit="1" customWidth="1"/>
    <col min="14352" max="14352" width="15.85546875" style="24" customWidth="1"/>
    <col min="14353" max="14353" width="17" style="24" customWidth="1"/>
    <col min="14354" max="14354" width="17.42578125" style="24" customWidth="1"/>
    <col min="14355" max="14355" width="10.140625" style="24" bestFit="1" customWidth="1"/>
    <col min="14356" max="14592" width="9" style="24"/>
    <col min="14593" max="14593" width="4.140625" style="24" customWidth="1"/>
    <col min="14594" max="14594" width="4.28515625" style="24" customWidth="1"/>
    <col min="14595" max="14595" width="13.5703125" style="24" customWidth="1"/>
    <col min="14596" max="14596" width="65" style="24" customWidth="1"/>
    <col min="14597" max="14597" width="6.7109375" style="24" customWidth="1"/>
    <col min="14598" max="14598" width="8.42578125" style="24" customWidth="1"/>
    <col min="14599" max="14599" width="10" style="24" customWidth="1"/>
    <col min="14600" max="14600" width="15.7109375" style="24" customWidth="1"/>
    <col min="14601" max="14601" width="18.140625" style="24" customWidth="1"/>
    <col min="14602" max="14602" width="19.28515625" style="24" customWidth="1"/>
    <col min="14603" max="14603" width="13.85546875" style="24" customWidth="1"/>
    <col min="14604" max="14606" width="11.5703125" style="24" customWidth="1"/>
    <col min="14607" max="14607" width="10.28515625" style="24" bestFit="1" customWidth="1"/>
    <col min="14608" max="14608" width="15.85546875" style="24" customWidth="1"/>
    <col min="14609" max="14609" width="17" style="24" customWidth="1"/>
    <col min="14610" max="14610" width="17.42578125" style="24" customWidth="1"/>
    <col min="14611" max="14611" width="10.140625" style="24" bestFit="1" customWidth="1"/>
    <col min="14612" max="14848" width="9" style="24"/>
    <col min="14849" max="14849" width="4.140625" style="24" customWidth="1"/>
    <col min="14850" max="14850" width="4.28515625" style="24" customWidth="1"/>
    <col min="14851" max="14851" width="13.5703125" style="24" customWidth="1"/>
    <col min="14852" max="14852" width="65" style="24" customWidth="1"/>
    <col min="14853" max="14853" width="6.7109375" style="24" customWidth="1"/>
    <col min="14854" max="14854" width="8.42578125" style="24" customWidth="1"/>
    <col min="14855" max="14855" width="10" style="24" customWidth="1"/>
    <col min="14856" max="14856" width="15.7109375" style="24" customWidth="1"/>
    <col min="14857" max="14857" width="18.140625" style="24" customWidth="1"/>
    <col min="14858" max="14858" width="19.28515625" style="24" customWidth="1"/>
    <col min="14859" max="14859" width="13.85546875" style="24" customWidth="1"/>
    <col min="14860" max="14862" width="11.5703125" style="24" customWidth="1"/>
    <col min="14863" max="14863" width="10.28515625" style="24" bestFit="1" customWidth="1"/>
    <col min="14864" max="14864" width="15.85546875" style="24" customWidth="1"/>
    <col min="14865" max="14865" width="17" style="24" customWidth="1"/>
    <col min="14866" max="14866" width="17.42578125" style="24" customWidth="1"/>
    <col min="14867" max="14867" width="10.140625" style="24" bestFit="1" customWidth="1"/>
    <col min="14868" max="15104" width="9" style="24"/>
    <col min="15105" max="15105" width="4.140625" style="24" customWidth="1"/>
    <col min="15106" max="15106" width="4.28515625" style="24" customWidth="1"/>
    <col min="15107" max="15107" width="13.5703125" style="24" customWidth="1"/>
    <col min="15108" max="15108" width="65" style="24" customWidth="1"/>
    <col min="15109" max="15109" width="6.7109375" style="24" customWidth="1"/>
    <col min="15110" max="15110" width="8.42578125" style="24" customWidth="1"/>
    <col min="15111" max="15111" width="10" style="24" customWidth="1"/>
    <col min="15112" max="15112" width="15.7109375" style="24" customWidth="1"/>
    <col min="15113" max="15113" width="18.140625" style="24" customWidth="1"/>
    <col min="15114" max="15114" width="19.28515625" style="24" customWidth="1"/>
    <col min="15115" max="15115" width="13.85546875" style="24" customWidth="1"/>
    <col min="15116" max="15118" width="11.5703125" style="24" customWidth="1"/>
    <col min="15119" max="15119" width="10.28515625" style="24" bestFit="1" customWidth="1"/>
    <col min="15120" max="15120" width="15.85546875" style="24" customWidth="1"/>
    <col min="15121" max="15121" width="17" style="24" customWidth="1"/>
    <col min="15122" max="15122" width="17.42578125" style="24" customWidth="1"/>
    <col min="15123" max="15123" width="10.140625" style="24" bestFit="1" customWidth="1"/>
    <col min="15124" max="15360" width="9" style="24"/>
    <col min="15361" max="15361" width="4.140625" style="24" customWidth="1"/>
    <col min="15362" max="15362" width="4.28515625" style="24" customWidth="1"/>
    <col min="15363" max="15363" width="13.5703125" style="24" customWidth="1"/>
    <col min="15364" max="15364" width="65" style="24" customWidth="1"/>
    <col min="15365" max="15365" width="6.7109375" style="24" customWidth="1"/>
    <col min="15366" max="15366" width="8.42578125" style="24" customWidth="1"/>
    <col min="15367" max="15367" width="10" style="24" customWidth="1"/>
    <col min="15368" max="15368" width="15.7109375" style="24" customWidth="1"/>
    <col min="15369" max="15369" width="18.140625" style="24" customWidth="1"/>
    <col min="15370" max="15370" width="19.28515625" style="24" customWidth="1"/>
    <col min="15371" max="15371" width="13.85546875" style="24" customWidth="1"/>
    <col min="15372" max="15374" width="11.5703125" style="24" customWidth="1"/>
    <col min="15375" max="15375" width="10.28515625" style="24" bestFit="1" customWidth="1"/>
    <col min="15376" max="15376" width="15.85546875" style="24" customWidth="1"/>
    <col min="15377" max="15377" width="17" style="24" customWidth="1"/>
    <col min="15378" max="15378" width="17.42578125" style="24" customWidth="1"/>
    <col min="15379" max="15379" width="10.140625" style="24" bestFit="1" customWidth="1"/>
    <col min="15380" max="15616" width="9" style="24"/>
    <col min="15617" max="15617" width="4.140625" style="24" customWidth="1"/>
    <col min="15618" max="15618" width="4.28515625" style="24" customWidth="1"/>
    <col min="15619" max="15619" width="13.5703125" style="24" customWidth="1"/>
    <col min="15620" max="15620" width="65" style="24" customWidth="1"/>
    <col min="15621" max="15621" width="6.7109375" style="24" customWidth="1"/>
    <col min="15622" max="15622" width="8.42578125" style="24" customWidth="1"/>
    <col min="15623" max="15623" width="10" style="24" customWidth="1"/>
    <col min="15624" max="15624" width="15.7109375" style="24" customWidth="1"/>
    <col min="15625" max="15625" width="18.140625" style="24" customWidth="1"/>
    <col min="15626" max="15626" width="19.28515625" style="24" customWidth="1"/>
    <col min="15627" max="15627" width="13.85546875" style="24" customWidth="1"/>
    <col min="15628" max="15630" width="11.5703125" style="24" customWidth="1"/>
    <col min="15631" max="15631" width="10.28515625" style="24" bestFit="1" customWidth="1"/>
    <col min="15632" max="15632" width="15.85546875" style="24" customWidth="1"/>
    <col min="15633" max="15633" width="17" style="24" customWidth="1"/>
    <col min="15634" max="15634" width="17.42578125" style="24" customWidth="1"/>
    <col min="15635" max="15635" width="10.140625" style="24" bestFit="1" customWidth="1"/>
    <col min="15636" max="15872" width="9" style="24"/>
    <col min="15873" max="15873" width="4.140625" style="24" customWidth="1"/>
    <col min="15874" max="15874" width="4.28515625" style="24" customWidth="1"/>
    <col min="15875" max="15875" width="13.5703125" style="24" customWidth="1"/>
    <col min="15876" max="15876" width="65" style="24" customWidth="1"/>
    <col min="15877" max="15877" width="6.7109375" style="24" customWidth="1"/>
    <col min="15878" max="15878" width="8.42578125" style="24" customWidth="1"/>
    <col min="15879" max="15879" width="10" style="24" customWidth="1"/>
    <col min="15880" max="15880" width="15.7109375" style="24" customWidth="1"/>
    <col min="15881" max="15881" width="18.140625" style="24" customWidth="1"/>
    <col min="15882" max="15882" width="19.28515625" style="24" customWidth="1"/>
    <col min="15883" max="15883" width="13.85546875" style="24" customWidth="1"/>
    <col min="15884" max="15886" width="11.5703125" style="24" customWidth="1"/>
    <col min="15887" max="15887" width="10.28515625" style="24" bestFit="1" customWidth="1"/>
    <col min="15888" max="15888" width="15.85546875" style="24" customWidth="1"/>
    <col min="15889" max="15889" width="17" style="24" customWidth="1"/>
    <col min="15890" max="15890" width="17.42578125" style="24" customWidth="1"/>
    <col min="15891" max="15891" width="10.140625" style="24" bestFit="1" customWidth="1"/>
    <col min="15892" max="16128" width="9" style="24"/>
    <col min="16129" max="16129" width="4.140625" style="24" customWidth="1"/>
    <col min="16130" max="16130" width="4.28515625" style="24" customWidth="1"/>
    <col min="16131" max="16131" width="13.5703125" style="24" customWidth="1"/>
    <col min="16132" max="16132" width="65" style="24" customWidth="1"/>
    <col min="16133" max="16133" width="6.7109375" style="24" customWidth="1"/>
    <col min="16134" max="16134" width="8.42578125" style="24" customWidth="1"/>
    <col min="16135" max="16135" width="10" style="24" customWidth="1"/>
    <col min="16136" max="16136" width="15.7109375" style="24" customWidth="1"/>
    <col min="16137" max="16137" width="18.140625" style="24" customWidth="1"/>
    <col min="16138" max="16138" width="19.28515625" style="24" customWidth="1"/>
    <col min="16139" max="16139" width="13.85546875" style="24" customWidth="1"/>
    <col min="16140" max="16142" width="11.5703125" style="24" customWidth="1"/>
    <col min="16143" max="16143" width="10.28515625" style="24" bestFit="1" customWidth="1"/>
    <col min="16144" max="16144" width="15.85546875" style="24" customWidth="1"/>
    <col min="16145" max="16145" width="17" style="24" customWidth="1"/>
    <col min="16146" max="16146" width="17.42578125" style="24" customWidth="1"/>
    <col min="16147" max="16147" width="10.140625" style="24" bestFit="1" customWidth="1"/>
    <col min="16148" max="16384" width="9" style="24"/>
  </cols>
  <sheetData>
    <row r="1" spans="1:74" s="3" customFormat="1" ht="20.25" customHeight="1">
      <c r="A1" s="1" t="s">
        <v>378</v>
      </c>
      <c r="B1" s="2"/>
      <c r="C1" s="2"/>
      <c r="D1" s="2"/>
      <c r="E1" s="2"/>
      <c r="F1" s="2"/>
      <c r="G1" s="2"/>
      <c r="H1" s="2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</row>
    <row r="2" spans="1:74" s="43" customFormat="1" ht="13.5" customHeight="1">
      <c r="A2" s="360" t="s">
        <v>1</v>
      </c>
      <c r="B2" s="361"/>
      <c r="C2" s="361"/>
      <c r="D2" s="361"/>
      <c r="E2" s="361"/>
      <c r="F2" s="361"/>
      <c r="G2" s="361"/>
      <c r="H2" s="361"/>
      <c r="I2" s="361"/>
      <c r="J2" s="39"/>
      <c r="K2" s="40"/>
      <c r="L2" s="38"/>
      <c r="M2" s="38"/>
      <c r="N2" s="38"/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</row>
    <row r="3" spans="1:74" s="48" customFormat="1" ht="13.5" customHeight="1">
      <c r="A3" s="362" t="s">
        <v>104</v>
      </c>
      <c r="B3" s="363"/>
      <c r="C3" s="363"/>
      <c r="D3" s="363"/>
      <c r="E3" s="10"/>
      <c r="F3" s="10"/>
      <c r="G3" s="44"/>
      <c r="H3" s="44"/>
      <c r="I3" s="45"/>
      <c r="J3" s="46"/>
      <c r="K3" s="40"/>
      <c r="L3" s="38"/>
      <c r="M3" s="38"/>
      <c r="N3" s="38"/>
      <c r="O3" s="46"/>
      <c r="P3" s="47"/>
      <c r="Q3" s="41"/>
      <c r="R3" s="41"/>
      <c r="S3" s="41"/>
      <c r="T3" s="41"/>
      <c r="U3" s="41"/>
      <c r="V3" s="41"/>
      <c r="W3" s="41"/>
      <c r="X3" s="41"/>
      <c r="Y3" s="41"/>
      <c r="Z3" s="47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</row>
    <row r="4" spans="1:74" s="48" customFormat="1" ht="13.5" customHeight="1">
      <c r="A4" s="49" t="s">
        <v>18</v>
      </c>
      <c r="B4" s="50"/>
      <c r="C4" s="50"/>
      <c r="D4" s="50"/>
      <c r="E4" s="10"/>
      <c r="F4" s="10"/>
      <c r="G4" s="44"/>
      <c r="H4" s="44"/>
      <c r="I4" s="45"/>
      <c r="J4" s="46"/>
      <c r="K4" s="40"/>
      <c r="L4" s="38"/>
      <c r="M4" s="38"/>
      <c r="N4" s="38"/>
      <c r="O4" s="46"/>
      <c r="P4" s="47"/>
      <c r="Q4" s="41"/>
      <c r="R4" s="41"/>
      <c r="S4" s="41"/>
      <c r="T4" s="41"/>
      <c r="U4" s="41"/>
      <c r="V4" s="41"/>
      <c r="W4" s="41"/>
      <c r="X4" s="41"/>
      <c r="Y4" s="41"/>
      <c r="Z4" s="47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</row>
    <row r="5" spans="1:74" s="52" customFormat="1" ht="13.5" customHeight="1">
      <c r="A5" s="10" t="s">
        <v>2</v>
      </c>
      <c r="B5" s="51"/>
      <c r="C5" s="51"/>
      <c r="D5" s="10"/>
      <c r="E5" s="10"/>
      <c r="F5" s="44"/>
      <c r="G5" s="44"/>
      <c r="H5" s="46"/>
      <c r="J5" s="38"/>
      <c r="K5" s="40"/>
      <c r="L5" s="38"/>
      <c r="M5" s="38"/>
      <c r="N5" s="38"/>
      <c r="O5" s="38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38"/>
      <c r="AI5" s="38"/>
      <c r="AJ5" s="38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</row>
    <row r="6" spans="1:74" s="3" customFormat="1" ht="12.75" customHeight="1">
      <c r="A6" s="14"/>
      <c r="B6" s="14"/>
      <c r="C6" s="14"/>
      <c r="D6" s="53"/>
      <c r="E6" s="14"/>
      <c r="F6" s="14"/>
      <c r="G6" s="2"/>
      <c r="H6" s="2"/>
      <c r="I6" s="38"/>
      <c r="J6" s="54"/>
      <c r="K6" s="40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</row>
    <row r="7" spans="1:74" s="3" customFormat="1" ht="24.75" customHeight="1">
      <c r="A7" s="55" t="s">
        <v>19</v>
      </c>
      <c r="B7" s="55" t="s">
        <v>20</v>
      </c>
      <c r="C7" s="55" t="s">
        <v>21</v>
      </c>
      <c r="D7" s="55" t="s">
        <v>4</v>
      </c>
      <c r="E7" s="55" t="s">
        <v>22</v>
      </c>
      <c r="F7" s="55" t="s">
        <v>23</v>
      </c>
      <c r="G7" s="55" t="s">
        <v>24</v>
      </c>
      <c r="H7" s="55" t="s">
        <v>25</v>
      </c>
      <c r="I7" s="55" t="s">
        <v>26</v>
      </c>
      <c r="J7" s="56"/>
      <c r="K7" s="40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</row>
    <row r="8" spans="1:74" s="3" customFormat="1" ht="12.75" customHeight="1">
      <c r="A8" s="55" t="s">
        <v>27</v>
      </c>
      <c r="B8" s="55" t="s">
        <v>28</v>
      </c>
      <c r="C8" s="55" t="s">
        <v>29</v>
      </c>
      <c r="D8" s="55" t="s">
        <v>30</v>
      </c>
      <c r="E8" s="55" t="s">
        <v>31</v>
      </c>
      <c r="F8" s="55" t="s">
        <v>32</v>
      </c>
      <c r="G8" s="55" t="s">
        <v>33</v>
      </c>
      <c r="H8" s="55">
        <v>8</v>
      </c>
      <c r="I8" s="55">
        <v>9</v>
      </c>
      <c r="J8" s="38"/>
      <c r="K8" s="40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</row>
    <row r="9" spans="1:74" s="3" customFormat="1" ht="21" customHeight="1">
      <c r="A9" s="57"/>
      <c r="B9" s="58"/>
      <c r="C9" s="58" t="s">
        <v>6</v>
      </c>
      <c r="D9" s="58" t="s">
        <v>7</v>
      </c>
      <c r="E9" s="58"/>
      <c r="F9" s="59"/>
      <c r="G9" s="60"/>
      <c r="H9" s="60">
        <f>H10+H33+H245</f>
        <v>0</v>
      </c>
      <c r="I9" s="61"/>
      <c r="J9" s="38"/>
      <c r="K9" s="40"/>
      <c r="L9" s="38"/>
      <c r="M9" s="38"/>
      <c r="N9" s="38"/>
      <c r="O9" s="38"/>
      <c r="P9" s="38"/>
      <c r="Q9" s="62"/>
      <c r="R9" s="38"/>
      <c r="S9" s="62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</row>
    <row r="10" spans="1:74" s="12" customFormat="1" ht="13.5" customHeight="1">
      <c r="A10" s="63"/>
      <c r="B10" s="64"/>
      <c r="C10" s="65" t="s">
        <v>32</v>
      </c>
      <c r="D10" s="65" t="s">
        <v>8</v>
      </c>
      <c r="E10" s="65"/>
      <c r="F10" s="66"/>
      <c r="G10" s="67"/>
      <c r="H10" s="67">
        <f>SUM(H11:H32)</f>
        <v>0</v>
      </c>
      <c r="I10" s="68"/>
      <c r="J10" s="322"/>
      <c r="K10" s="322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  <c r="AT10" s="277"/>
      <c r="AU10" s="277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</row>
    <row r="11" spans="1:74" s="8" customFormat="1" ht="13.5" customHeight="1">
      <c r="A11" s="69">
        <v>1</v>
      </c>
      <c r="B11" s="70" t="s">
        <v>34</v>
      </c>
      <c r="C11" s="71">
        <v>619991011</v>
      </c>
      <c r="D11" s="71" t="s">
        <v>35</v>
      </c>
      <c r="E11" s="71" t="s">
        <v>36</v>
      </c>
      <c r="F11" s="72">
        <f>SUM(F12:F12)</f>
        <v>90</v>
      </c>
      <c r="G11" s="73"/>
      <c r="H11" s="73">
        <f>F11*G11</f>
        <v>0</v>
      </c>
      <c r="I11" s="74" t="s">
        <v>37</v>
      </c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  <c r="AD11" s="277"/>
      <c r="AE11" s="277"/>
      <c r="AF11" s="277"/>
      <c r="AG11" s="277"/>
      <c r="AH11" s="277"/>
      <c r="AI11" s="277"/>
      <c r="AJ11" s="277"/>
      <c r="AK11" s="277"/>
      <c r="AL11" s="277"/>
      <c r="AM11" s="277"/>
      <c r="AN11" s="277"/>
      <c r="AO11" s="277"/>
      <c r="AP11" s="277"/>
      <c r="AQ11" s="277"/>
      <c r="AR11" s="277"/>
      <c r="AS11" s="277"/>
      <c r="AT11" s="277"/>
      <c r="AU11" s="277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</row>
    <row r="12" spans="1:74" s="8" customFormat="1" ht="13.5" customHeight="1">
      <c r="A12" s="76"/>
      <c r="B12" s="77"/>
      <c r="C12" s="77"/>
      <c r="D12" s="78" t="s">
        <v>107</v>
      </c>
      <c r="E12" s="77"/>
      <c r="F12" s="79">
        <v>90</v>
      </c>
      <c r="G12" s="80"/>
      <c r="H12" s="80"/>
      <c r="I12" s="81"/>
      <c r="J12" s="278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  <c r="AN12" s="277"/>
      <c r="AO12" s="277"/>
      <c r="AP12" s="277"/>
      <c r="AQ12" s="277"/>
      <c r="AR12" s="277"/>
      <c r="AS12" s="277"/>
      <c r="AT12" s="277"/>
      <c r="AU12" s="277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</row>
    <row r="13" spans="1:74" s="8" customFormat="1" ht="13.5" customHeight="1">
      <c r="A13" s="76"/>
      <c r="B13" s="77"/>
      <c r="C13" s="77"/>
      <c r="D13" s="78" t="s">
        <v>38</v>
      </c>
      <c r="E13" s="77"/>
      <c r="F13" s="79"/>
      <c r="G13" s="80"/>
      <c r="H13" s="80"/>
      <c r="I13" s="81"/>
      <c r="J13" s="278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F13" s="277"/>
      <c r="AG13" s="277"/>
      <c r="AH13" s="277"/>
      <c r="AI13" s="277"/>
      <c r="AJ13" s="277"/>
      <c r="AK13" s="277"/>
      <c r="AL13" s="277"/>
      <c r="AM13" s="277"/>
      <c r="AN13" s="277"/>
      <c r="AO13" s="277"/>
      <c r="AP13" s="277"/>
      <c r="AQ13" s="277"/>
      <c r="AR13" s="277"/>
      <c r="AS13" s="277"/>
      <c r="AT13" s="277"/>
      <c r="AU13" s="277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</row>
    <row r="14" spans="1:74" s="8" customFormat="1" ht="13.5" customHeight="1">
      <c r="A14" s="69">
        <v>2</v>
      </c>
      <c r="B14" s="70" t="s">
        <v>332</v>
      </c>
      <c r="C14" s="71">
        <v>619996145</v>
      </c>
      <c r="D14" s="71" t="s">
        <v>333</v>
      </c>
      <c r="E14" s="71" t="s">
        <v>36</v>
      </c>
      <c r="F14" s="72">
        <f>SUM(F15:F15)</f>
        <v>90</v>
      </c>
      <c r="G14" s="73"/>
      <c r="H14" s="73">
        <f>F14*G14</f>
        <v>0</v>
      </c>
      <c r="I14" s="74" t="s">
        <v>37</v>
      </c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7"/>
      <c r="AL14" s="277"/>
      <c r="AM14" s="277"/>
      <c r="AN14" s="277"/>
      <c r="AO14" s="277"/>
      <c r="AP14" s="277"/>
      <c r="AQ14" s="277"/>
      <c r="AR14" s="277"/>
      <c r="AS14" s="277"/>
      <c r="AT14" s="277"/>
      <c r="AU14" s="277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</row>
    <row r="15" spans="1:74" s="8" customFormat="1" ht="13.5" customHeight="1">
      <c r="A15" s="76"/>
      <c r="B15" s="77"/>
      <c r="C15" s="77"/>
      <c r="D15" s="78" t="s">
        <v>107</v>
      </c>
      <c r="E15" s="77"/>
      <c r="F15" s="79">
        <v>90</v>
      </c>
      <c r="G15" s="80"/>
      <c r="H15" s="80"/>
      <c r="I15" s="81"/>
      <c r="J15" s="278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</row>
    <row r="16" spans="1:74" s="8" customFormat="1" ht="13.5" customHeight="1">
      <c r="A16" s="76"/>
      <c r="B16" s="77"/>
      <c r="C16" s="77"/>
      <c r="D16" s="78" t="s">
        <v>38</v>
      </c>
      <c r="E16" s="77"/>
      <c r="F16" s="79"/>
      <c r="G16" s="80"/>
      <c r="H16" s="80"/>
      <c r="I16" s="81"/>
      <c r="J16" s="278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7"/>
      <c r="AD16" s="277"/>
      <c r="AE16" s="277"/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</row>
    <row r="17" spans="1:18" s="277" customFormat="1" ht="13.5" customHeight="1">
      <c r="A17" s="346">
        <v>3</v>
      </c>
      <c r="B17" s="347" t="s">
        <v>332</v>
      </c>
      <c r="C17" s="348">
        <v>619996117</v>
      </c>
      <c r="D17" s="348" t="s">
        <v>336</v>
      </c>
      <c r="E17" s="348" t="s">
        <v>36</v>
      </c>
      <c r="F17" s="349">
        <f>SUM(F19:F19)</f>
        <v>214.50000000000003</v>
      </c>
      <c r="G17" s="350"/>
      <c r="H17" s="350">
        <f>F17*G17</f>
        <v>0</v>
      </c>
      <c r="I17" s="74" t="s">
        <v>37</v>
      </c>
      <c r="J17" s="305"/>
      <c r="K17" s="305"/>
      <c r="L17" s="305"/>
      <c r="M17" s="305"/>
      <c r="N17" s="305"/>
      <c r="O17" s="305"/>
      <c r="R17" s="305"/>
    </row>
    <row r="18" spans="1:18" s="277" customFormat="1" ht="13.5" customHeight="1">
      <c r="A18" s="351"/>
      <c r="B18" s="352"/>
      <c r="C18" s="352"/>
      <c r="D18" s="332" t="s">
        <v>337</v>
      </c>
      <c r="E18" s="348"/>
      <c r="F18" s="353"/>
      <c r="G18" s="354"/>
      <c r="H18" s="354"/>
      <c r="I18" s="334"/>
      <c r="J18" s="305"/>
    </row>
    <row r="19" spans="1:18" s="277" customFormat="1" ht="13.5" customHeight="1">
      <c r="A19" s="351"/>
      <c r="B19" s="352"/>
      <c r="C19" s="352"/>
      <c r="D19" s="332" t="s">
        <v>345</v>
      </c>
      <c r="E19" s="348"/>
      <c r="F19" s="353">
        <f>((10*3.25)*6)*1.1</f>
        <v>214.50000000000003</v>
      </c>
      <c r="G19" s="354"/>
      <c r="H19" s="354"/>
      <c r="I19" s="334"/>
      <c r="J19" s="345"/>
    </row>
    <row r="20" spans="1:18" s="277" customFormat="1" ht="13.5" customHeight="1">
      <c r="A20" s="351"/>
      <c r="B20" s="352"/>
      <c r="C20" s="352"/>
      <c r="D20" s="332" t="s">
        <v>338</v>
      </c>
      <c r="E20" s="348"/>
      <c r="F20" s="353"/>
      <c r="G20" s="354"/>
      <c r="H20" s="354"/>
      <c r="I20" s="334"/>
    </row>
    <row r="21" spans="1:18" s="277" customFormat="1" ht="13.5" customHeight="1">
      <c r="A21" s="346">
        <v>4</v>
      </c>
      <c r="B21" s="347" t="s">
        <v>332</v>
      </c>
      <c r="C21" s="348">
        <v>619996127</v>
      </c>
      <c r="D21" s="348" t="s">
        <v>339</v>
      </c>
      <c r="E21" s="348" t="s">
        <v>36</v>
      </c>
      <c r="F21" s="349">
        <f>SUM(F23)</f>
        <v>264</v>
      </c>
      <c r="G21" s="350"/>
      <c r="H21" s="350">
        <f>F21*G21</f>
        <v>0</v>
      </c>
      <c r="I21" s="74" t="s">
        <v>37</v>
      </c>
      <c r="J21" s="305"/>
      <c r="K21" s="305"/>
      <c r="L21" s="305"/>
      <c r="M21" s="305"/>
      <c r="N21" s="305"/>
      <c r="O21" s="305"/>
      <c r="R21" s="305"/>
    </row>
    <row r="22" spans="1:18" s="277" customFormat="1" ht="13.5" customHeight="1">
      <c r="A22" s="351"/>
      <c r="B22" s="352"/>
      <c r="C22" s="352"/>
      <c r="D22" s="332" t="s">
        <v>340</v>
      </c>
      <c r="E22" s="348"/>
      <c r="F22" s="353"/>
      <c r="G22" s="354"/>
      <c r="H22" s="354"/>
      <c r="I22" s="334"/>
      <c r="J22" s="305"/>
    </row>
    <row r="23" spans="1:18" s="277" customFormat="1" ht="13.5" customHeight="1">
      <c r="A23" s="351"/>
      <c r="B23" s="352"/>
      <c r="C23" s="352"/>
      <c r="D23" s="332" t="s">
        <v>349</v>
      </c>
      <c r="E23" s="348"/>
      <c r="F23" s="353">
        <f>((10*2*2)*6)*1.1</f>
        <v>264</v>
      </c>
      <c r="G23" s="354"/>
      <c r="H23" s="354"/>
      <c r="I23" s="334"/>
      <c r="J23" s="340"/>
    </row>
    <row r="24" spans="1:18" s="277" customFormat="1" ht="13.5" customHeight="1">
      <c r="A24" s="351"/>
      <c r="B24" s="352"/>
      <c r="C24" s="352"/>
      <c r="D24" s="332" t="s">
        <v>338</v>
      </c>
      <c r="E24" s="348"/>
      <c r="F24" s="353"/>
      <c r="G24" s="354"/>
      <c r="H24" s="354"/>
      <c r="I24" s="334"/>
    </row>
    <row r="25" spans="1:18" s="277" customFormat="1" ht="13.5" customHeight="1">
      <c r="A25" s="346">
        <v>5</v>
      </c>
      <c r="B25" s="347" t="s">
        <v>332</v>
      </c>
      <c r="C25" s="348">
        <v>632481215</v>
      </c>
      <c r="D25" s="348" t="s">
        <v>341</v>
      </c>
      <c r="E25" s="348" t="s">
        <v>36</v>
      </c>
      <c r="F25" s="349">
        <f>SUM(F27)</f>
        <v>224.24999999999997</v>
      </c>
      <c r="G25" s="350"/>
      <c r="H25" s="350">
        <f>F25*G25</f>
        <v>0</v>
      </c>
      <c r="I25" s="74" t="s">
        <v>37</v>
      </c>
      <c r="J25" s="305"/>
      <c r="K25" s="305"/>
      <c r="L25" s="305"/>
      <c r="M25" s="305"/>
      <c r="N25" s="305"/>
      <c r="O25" s="305"/>
      <c r="R25" s="305"/>
    </row>
    <row r="26" spans="1:18" s="277" customFormat="1" ht="13.5" customHeight="1">
      <c r="A26" s="351"/>
      <c r="B26" s="352"/>
      <c r="C26" s="352"/>
      <c r="D26" s="332" t="s">
        <v>342</v>
      </c>
      <c r="E26" s="348"/>
      <c r="F26" s="353"/>
      <c r="G26" s="354"/>
      <c r="H26" s="354"/>
      <c r="I26" s="334"/>
      <c r="J26" s="305"/>
    </row>
    <row r="27" spans="1:18" s="277" customFormat="1" ht="13.5" customHeight="1">
      <c r="A27" s="351"/>
      <c r="B27" s="352"/>
      <c r="C27" s="352"/>
      <c r="D27" s="332" t="s">
        <v>346</v>
      </c>
      <c r="E27" s="348"/>
      <c r="F27" s="353">
        <f>((10*3.25)*6)*1.15</f>
        <v>224.24999999999997</v>
      </c>
      <c r="G27" s="354"/>
      <c r="H27" s="354"/>
      <c r="I27" s="334"/>
      <c r="J27" s="340"/>
    </row>
    <row r="28" spans="1:18" s="277" customFormat="1" ht="13.5" customHeight="1">
      <c r="A28" s="351"/>
      <c r="B28" s="352"/>
      <c r="C28" s="352"/>
      <c r="D28" s="355" t="s">
        <v>343</v>
      </c>
      <c r="E28" s="348"/>
      <c r="F28" s="353"/>
      <c r="G28" s="354"/>
      <c r="H28" s="354"/>
      <c r="I28" s="334"/>
    </row>
    <row r="29" spans="1:18" s="277" customFormat="1" ht="13.5" customHeight="1">
      <c r="A29" s="346">
        <v>6</v>
      </c>
      <c r="B29" s="347" t="s">
        <v>332</v>
      </c>
      <c r="C29" s="348" t="s">
        <v>347</v>
      </c>
      <c r="D29" s="348" t="s">
        <v>348</v>
      </c>
      <c r="E29" s="348" t="s">
        <v>36</v>
      </c>
      <c r="F29" s="349">
        <f>SUM(F31)</f>
        <v>276</v>
      </c>
      <c r="G29" s="350"/>
      <c r="H29" s="350">
        <f>F29*G29</f>
        <v>0</v>
      </c>
      <c r="I29" s="74" t="s">
        <v>90</v>
      </c>
      <c r="J29" s="305"/>
      <c r="K29" s="305"/>
      <c r="L29" s="305"/>
      <c r="M29" s="305"/>
      <c r="N29" s="305"/>
      <c r="O29" s="305"/>
      <c r="R29" s="305"/>
    </row>
    <row r="30" spans="1:18" s="277" customFormat="1" ht="13.5" customHeight="1">
      <c r="A30" s="351"/>
      <c r="B30" s="352"/>
      <c r="C30" s="352"/>
      <c r="D30" s="332" t="s">
        <v>344</v>
      </c>
      <c r="E30" s="348"/>
      <c r="F30" s="353"/>
      <c r="G30" s="354"/>
      <c r="H30" s="354"/>
      <c r="I30" s="334"/>
      <c r="J30" s="305"/>
    </row>
    <row r="31" spans="1:18" s="277" customFormat="1" ht="13.5" customHeight="1">
      <c r="A31" s="351"/>
      <c r="B31" s="352"/>
      <c r="C31" s="352"/>
      <c r="D31" s="332" t="s">
        <v>350</v>
      </c>
      <c r="E31" s="348"/>
      <c r="F31" s="353">
        <f>((10*2*2)*6)*1.15</f>
        <v>276</v>
      </c>
      <c r="G31" s="354"/>
      <c r="H31" s="354"/>
      <c r="I31" s="334"/>
      <c r="J31" s="340"/>
    </row>
    <row r="32" spans="1:18" s="277" customFormat="1" ht="13.5" customHeight="1">
      <c r="A32" s="351"/>
      <c r="B32" s="352"/>
      <c r="C32" s="352"/>
      <c r="D32" s="355" t="s">
        <v>343</v>
      </c>
      <c r="E32" s="348"/>
      <c r="F32" s="353"/>
      <c r="G32" s="354"/>
      <c r="H32" s="354"/>
      <c r="I32" s="334"/>
    </row>
    <row r="33" spans="1:86" s="46" customFormat="1" ht="13.5" customHeight="1">
      <c r="A33" s="82"/>
      <c r="B33" s="83"/>
      <c r="C33" s="83" t="s">
        <v>39</v>
      </c>
      <c r="D33" s="83" t="s">
        <v>40</v>
      </c>
      <c r="E33" s="83"/>
      <c r="F33" s="84"/>
      <c r="G33" s="85"/>
      <c r="H33" s="85">
        <f>SUM(H34:H225,H230:H230,H231:H232,H237:H239)</f>
        <v>0</v>
      </c>
      <c r="I33" s="86"/>
      <c r="K33" s="87"/>
    </row>
    <row r="34" spans="1:86" s="277" customFormat="1" ht="27" customHeight="1">
      <c r="A34" s="327">
        <v>7</v>
      </c>
      <c r="B34" s="328" t="s">
        <v>41</v>
      </c>
      <c r="C34" s="329" t="s">
        <v>316</v>
      </c>
      <c r="D34" s="329" t="s">
        <v>331</v>
      </c>
      <c r="E34" s="329" t="s">
        <v>76</v>
      </c>
      <c r="F34" s="330">
        <f>SUM(F35:F35)</f>
        <v>1</v>
      </c>
      <c r="G34" s="331"/>
      <c r="H34" s="331">
        <f>F34*G34</f>
        <v>0</v>
      </c>
      <c r="I34" s="74" t="s">
        <v>90</v>
      </c>
    </row>
    <row r="35" spans="1:86" s="325" customFormat="1" ht="27" customHeight="1">
      <c r="A35" s="327"/>
      <c r="B35" s="328"/>
      <c r="C35" s="329"/>
      <c r="D35" s="332" t="s">
        <v>319</v>
      </c>
      <c r="E35" s="329"/>
      <c r="F35" s="333">
        <v>1</v>
      </c>
      <c r="G35" s="331"/>
      <c r="H35" s="331"/>
      <c r="I35" s="334"/>
      <c r="J35" s="294"/>
      <c r="K35" s="294"/>
      <c r="L35" s="294"/>
      <c r="M35" s="294"/>
      <c r="N35" s="294"/>
      <c r="O35" s="294"/>
      <c r="P35" s="294"/>
      <c r="Q35" s="294"/>
      <c r="R35" s="294"/>
      <c r="S35" s="294"/>
      <c r="T35" s="294"/>
      <c r="U35" s="294"/>
      <c r="V35" s="294"/>
      <c r="W35" s="294"/>
      <c r="X35" s="294"/>
      <c r="Y35" s="294"/>
      <c r="Z35" s="294"/>
      <c r="AA35" s="294"/>
      <c r="AB35" s="294"/>
      <c r="AC35" s="294"/>
      <c r="AD35" s="294"/>
      <c r="AE35" s="294"/>
      <c r="AF35" s="294"/>
      <c r="AG35" s="294"/>
      <c r="AH35" s="294"/>
      <c r="AI35" s="294"/>
      <c r="AJ35" s="294"/>
      <c r="AK35" s="294"/>
      <c r="AL35" s="294"/>
      <c r="AM35" s="294"/>
      <c r="AN35" s="294"/>
      <c r="AO35" s="294"/>
      <c r="AP35" s="294"/>
      <c r="AQ35" s="294"/>
      <c r="AR35" s="294"/>
      <c r="AS35" s="294"/>
      <c r="AT35" s="294"/>
      <c r="AU35" s="294"/>
      <c r="AV35" s="294"/>
      <c r="AW35" s="294"/>
      <c r="AX35" s="294"/>
      <c r="AY35" s="294"/>
      <c r="AZ35" s="294"/>
      <c r="BA35" s="294"/>
      <c r="BB35" s="294"/>
      <c r="BC35" s="294"/>
      <c r="BD35" s="294"/>
      <c r="BE35" s="294"/>
      <c r="BF35" s="294"/>
      <c r="BG35" s="294"/>
      <c r="BH35" s="294"/>
      <c r="BI35" s="294"/>
      <c r="BJ35" s="294"/>
      <c r="BK35" s="294"/>
      <c r="BL35" s="294"/>
      <c r="BM35" s="294"/>
      <c r="BN35" s="294"/>
      <c r="BO35" s="294"/>
      <c r="BP35" s="294"/>
      <c r="BQ35" s="294"/>
      <c r="BR35" s="294"/>
      <c r="BS35" s="294"/>
      <c r="BT35" s="294"/>
      <c r="BU35" s="294"/>
      <c r="BV35" s="294"/>
      <c r="BW35" s="294"/>
      <c r="BX35" s="294"/>
      <c r="BY35" s="294"/>
      <c r="BZ35" s="294"/>
      <c r="CA35" s="294"/>
      <c r="CB35" s="294"/>
      <c r="CC35" s="294"/>
      <c r="CD35" s="294"/>
      <c r="CE35" s="294"/>
      <c r="CF35" s="294"/>
      <c r="CG35" s="294"/>
      <c r="CH35" s="294"/>
    </row>
    <row r="36" spans="1:86" s="325" customFormat="1" ht="27" customHeight="1">
      <c r="A36" s="327"/>
      <c r="B36" s="328"/>
      <c r="C36" s="329"/>
      <c r="D36" s="332" t="s">
        <v>317</v>
      </c>
      <c r="E36" s="329"/>
      <c r="F36" s="333"/>
      <c r="G36" s="331"/>
      <c r="H36" s="331"/>
      <c r="I36" s="33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294"/>
      <c r="U36" s="294"/>
      <c r="V36" s="294"/>
      <c r="W36" s="294"/>
      <c r="X36" s="294"/>
      <c r="Y36" s="294"/>
      <c r="Z36" s="294"/>
      <c r="AA36" s="294"/>
      <c r="AB36" s="294"/>
      <c r="AC36" s="294"/>
      <c r="AD36" s="294"/>
      <c r="AE36" s="294"/>
      <c r="AF36" s="294"/>
      <c r="AG36" s="294"/>
      <c r="AH36" s="294"/>
      <c r="AI36" s="294"/>
      <c r="AJ36" s="294"/>
      <c r="AK36" s="294"/>
      <c r="AL36" s="294"/>
      <c r="AM36" s="294"/>
      <c r="AN36" s="294"/>
      <c r="AO36" s="294"/>
      <c r="AP36" s="294"/>
      <c r="AQ36" s="294"/>
      <c r="AR36" s="294"/>
      <c r="AS36" s="294"/>
      <c r="AT36" s="294"/>
      <c r="AU36" s="294"/>
      <c r="AV36" s="294"/>
      <c r="AW36" s="294"/>
      <c r="AX36" s="294"/>
      <c r="AY36" s="294"/>
      <c r="AZ36" s="294"/>
      <c r="BA36" s="294"/>
      <c r="BB36" s="294"/>
      <c r="BC36" s="294"/>
      <c r="BD36" s="294"/>
      <c r="BE36" s="294"/>
      <c r="BF36" s="294"/>
      <c r="BG36" s="294"/>
      <c r="BH36" s="294"/>
      <c r="BI36" s="294"/>
      <c r="BJ36" s="294"/>
      <c r="BK36" s="294"/>
      <c r="BL36" s="294"/>
      <c r="BM36" s="294"/>
      <c r="BN36" s="294"/>
      <c r="BO36" s="294"/>
      <c r="BP36" s="294"/>
      <c r="BQ36" s="294"/>
      <c r="BR36" s="294"/>
      <c r="BS36" s="294"/>
      <c r="BT36" s="294"/>
      <c r="BU36" s="294"/>
      <c r="BV36" s="294"/>
      <c r="BW36" s="294"/>
      <c r="BX36" s="294"/>
      <c r="BY36" s="294"/>
      <c r="BZ36" s="294"/>
      <c r="CA36" s="294"/>
      <c r="CB36" s="294"/>
      <c r="CC36" s="294"/>
      <c r="CD36" s="294"/>
      <c r="CE36" s="294"/>
      <c r="CF36" s="294"/>
      <c r="CG36" s="294"/>
      <c r="CH36" s="294"/>
    </row>
    <row r="37" spans="1:86" s="325" customFormat="1" ht="13.5" customHeight="1">
      <c r="A37" s="327"/>
      <c r="B37" s="328"/>
      <c r="C37" s="329"/>
      <c r="D37" s="332" t="s">
        <v>318</v>
      </c>
      <c r="E37" s="329"/>
      <c r="F37" s="333"/>
      <c r="G37" s="331"/>
      <c r="H37" s="331"/>
      <c r="I37" s="334"/>
      <c r="J37" s="294"/>
      <c r="K37" s="294"/>
      <c r="L37" s="294"/>
      <c r="M37" s="294"/>
      <c r="N37" s="294"/>
      <c r="O37" s="294"/>
      <c r="P37" s="294"/>
      <c r="Q37" s="294"/>
      <c r="R37" s="294"/>
      <c r="S37" s="294"/>
      <c r="T37" s="294"/>
      <c r="U37" s="294"/>
      <c r="V37" s="294"/>
      <c r="W37" s="294"/>
      <c r="X37" s="294"/>
      <c r="Y37" s="294"/>
      <c r="Z37" s="294"/>
      <c r="AA37" s="294"/>
      <c r="AB37" s="294"/>
      <c r="AC37" s="294"/>
      <c r="AD37" s="294"/>
      <c r="AE37" s="294"/>
      <c r="AF37" s="294"/>
      <c r="AG37" s="294"/>
      <c r="AH37" s="294"/>
      <c r="AI37" s="294"/>
      <c r="AJ37" s="294"/>
      <c r="AK37" s="294"/>
      <c r="AL37" s="294"/>
      <c r="AM37" s="294"/>
      <c r="AN37" s="294"/>
      <c r="AO37" s="294"/>
      <c r="AP37" s="294"/>
      <c r="AQ37" s="294"/>
      <c r="AR37" s="294"/>
      <c r="AS37" s="294"/>
      <c r="AT37" s="294"/>
      <c r="AU37" s="294"/>
      <c r="AV37" s="294"/>
      <c r="AW37" s="294"/>
      <c r="AX37" s="294"/>
      <c r="AY37" s="294"/>
      <c r="AZ37" s="294"/>
      <c r="BA37" s="294"/>
      <c r="BB37" s="294"/>
      <c r="BC37" s="294"/>
      <c r="BD37" s="294"/>
      <c r="BE37" s="294"/>
      <c r="BF37" s="294"/>
      <c r="BG37" s="294"/>
      <c r="BH37" s="294"/>
      <c r="BI37" s="294"/>
      <c r="BJ37" s="294"/>
      <c r="BK37" s="294"/>
      <c r="BL37" s="294"/>
      <c r="BM37" s="294"/>
      <c r="BN37" s="294"/>
      <c r="BO37" s="294"/>
      <c r="BP37" s="294"/>
      <c r="BQ37" s="294"/>
      <c r="BR37" s="294"/>
      <c r="BS37" s="294"/>
      <c r="BT37" s="294"/>
      <c r="BU37" s="294"/>
      <c r="BV37" s="294"/>
      <c r="BW37" s="294"/>
      <c r="BX37" s="294"/>
      <c r="BY37" s="294"/>
      <c r="BZ37" s="294"/>
      <c r="CA37" s="294"/>
      <c r="CB37" s="294"/>
      <c r="CC37" s="294"/>
      <c r="CD37" s="294"/>
      <c r="CE37" s="294"/>
      <c r="CF37" s="294"/>
      <c r="CG37" s="294"/>
      <c r="CH37" s="294"/>
    </row>
    <row r="38" spans="1:86" s="95" customFormat="1" ht="26.25" customHeight="1">
      <c r="A38" s="88">
        <v>8</v>
      </c>
      <c r="B38" s="89" t="s">
        <v>41</v>
      </c>
      <c r="C38" s="90">
        <v>949101111</v>
      </c>
      <c r="D38" s="91" t="s">
        <v>42</v>
      </c>
      <c r="E38" s="91" t="s">
        <v>36</v>
      </c>
      <c r="F38" s="92">
        <f>SUM(F40:F45)</f>
        <v>174.38000000000002</v>
      </c>
      <c r="G38" s="93"/>
      <c r="H38" s="94">
        <f>F38*G38</f>
        <v>0</v>
      </c>
      <c r="I38" s="74" t="s">
        <v>37</v>
      </c>
      <c r="J38" s="335"/>
      <c r="K38" s="335"/>
      <c r="L38" s="335"/>
      <c r="M38" s="336"/>
    </row>
    <row r="39" spans="1:86" s="95" customFormat="1" ht="13.5" customHeight="1">
      <c r="A39" s="88"/>
      <c r="B39" s="89"/>
      <c r="C39" s="90"/>
      <c r="D39" s="96" t="s">
        <v>108</v>
      </c>
      <c r="E39" s="91"/>
      <c r="F39" s="92"/>
      <c r="G39" s="93"/>
      <c r="H39" s="94"/>
      <c r="I39" s="74"/>
      <c r="J39" s="97"/>
    </row>
    <row r="40" spans="1:86" s="95" customFormat="1" ht="13.5" customHeight="1">
      <c r="A40" s="88"/>
      <c r="B40" s="89"/>
      <c r="C40" s="90"/>
      <c r="D40" s="96" t="s">
        <v>109</v>
      </c>
      <c r="E40" s="91"/>
      <c r="F40" s="98">
        <f>3.1+3.04+3.9+1.89</f>
        <v>11.930000000000001</v>
      </c>
      <c r="G40" s="93"/>
      <c r="H40" s="94"/>
      <c r="I40" s="74"/>
      <c r="J40" s="97"/>
    </row>
    <row r="41" spans="1:86" s="95" customFormat="1" ht="27" customHeight="1">
      <c r="A41" s="88"/>
      <c r="B41" s="89"/>
      <c r="C41" s="90"/>
      <c r="D41" s="96" t="s">
        <v>110</v>
      </c>
      <c r="E41" s="91"/>
      <c r="F41" s="98">
        <f>4.5+3.15+5.06+15.53+6.88+4.45+1.51+4.11</f>
        <v>45.190000000000005</v>
      </c>
      <c r="G41" s="93"/>
      <c r="H41" s="94"/>
      <c r="I41" s="74"/>
      <c r="J41" s="335"/>
    </row>
    <row r="42" spans="1:86" s="95" customFormat="1" ht="27" customHeight="1">
      <c r="A42" s="88"/>
      <c r="B42" s="89"/>
      <c r="C42" s="90"/>
      <c r="D42" s="96" t="s">
        <v>111</v>
      </c>
      <c r="E42" s="91"/>
      <c r="F42" s="98">
        <f>15.55+4+1.61+4.45+6.88+4.17+3.02+4.87</f>
        <v>44.550000000000004</v>
      </c>
      <c r="G42" s="93"/>
      <c r="H42" s="94"/>
      <c r="I42" s="74"/>
      <c r="J42" s="335"/>
    </row>
    <row r="43" spans="1:86" s="95" customFormat="1" ht="27" customHeight="1">
      <c r="A43" s="88"/>
      <c r="B43" s="89"/>
      <c r="C43" s="90"/>
      <c r="D43" s="96" t="s">
        <v>112</v>
      </c>
      <c r="E43" s="91"/>
      <c r="F43" s="98">
        <f>7.75+1.49+3.36+9.9+4.73+6.85+2.08+3.08+7</f>
        <v>46.239999999999995</v>
      </c>
      <c r="G43" s="93"/>
      <c r="H43" s="94"/>
      <c r="I43" s="74"/>
      <c r="J43" s="97"/>
    </row>
    <row r="44" spans="1:86" s="95" customFormat="1" ht="13.5" customHeight="1">
      <c r="A44" s="88"/>
      <c r="B44" s="89"/>
      <c r="C44" s="90"/>
      <c r="D44" s="96" t="s">
        <v>113</v>
      </c>
      <c r="E44" s="91"/>
      <c r="F44" s="98">
        <f>1.65+4.22+2.89+4.83+2.28+2.94</f>
        <v>18.809999999999999</v>
      </c>
      <c r="G44" s="93"/>
      <c r="H44" s="94"/>
      <c r="I44" s="74"/>
      <c r="J44" s="97"/>
    </row>
    <row r="45" spans="1:86" s="95" customFormat="1" ht="13.5" customHeight="1">
      <c r="A45" s="88"/>
      <c r="B45" s="89"/>
      <c r="C45" s="90"/>
      <c r="D45" s="96" t="s">
        <v>114</v>
      </c>
      <c r="E45" s="91"/>
      <c r="F45" s="98">
        <f>4.34+3.32</f>
        <v>7.66</v>
      </c>
      <c r="G45" s="93"/>
      <c r="H45" s="94"/>
      <c r="I45" s="74"/>
      <c r="J45" s="97"/>
    </row>
    <row r="46" spans="1:86" s="52" customFormat="1" ht="13.5" customHeight="1">
      <c r="A46" s="100"/>
      <c r="B46" s="101"/>
      <c r="C46" s="101"/>
      <c r="D46" s="102" t="s">
        <v>43</v>
      </c>
      <c r="E46" s="101"/>
      <c r="F46" s="98"/>
      <c r="G46" s="103"/>
      <c r="H46" s="104"/>
      <c r="I46" s="8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</row>
    <row r="47" spans="1:86" s="75" customFormat="1" ht="13.5" customHeight="1">
      <c r="A47" s="69">
        <v>9</v>
      </c>
      <c r="B47" s="70" t="s">
        <v>41</v>
      </c>
      <c r="C47" s="71">
        <v>952901111</v>
      </c>
      <c r="D47" s="71" t="s">
        <v>44</v>
      </c>
      <c r="E47" s="71" t="s">
        <v>36</v>
      </c>
      <c r="F47" s="105">
        <f>SUM(F49:F55)</f>
        <v>374.38</v>
      </c>
      <c r="G47" s="73"/>
      <c r="H47" s="73">
        <f>F47*G47</f>
        <v>0</v>
      </c>
      <c r="I47" s="106" t="s">
        <v>37</v>
      </c>
      <c r="J47" s="277"/>
      <c r="K47" s="277"/>
      <c r="L47" s="277"/>
      <c r="M47" s="277"/>
      <c r="N47" s="277"/>
      <c r="O47" s="277"/>
      <c r="P47" s="277"/>
      <c r="Q47" s="277"/>
      <c r="R47" s="277"/>
      <c r="S47" s="277"/>
      <c r="T47" s="277"/>
      <c r="U47" s="277"/>
      <c r="V47" s="277"/>
      <c r="W47" s="277"/>
      <c r="X47" s="277"/>
      <c r="Y47" s="277"/>
      <c r="Z47" s="277"/>
      <c r="AA47" s="277"/>
      <c r="AB47" s="277"/>
      <c r="AC47" s="277"/>
      <c r="AD47" s="277"/>
      <c r="AE47" s="277"/>
      <c r="AF47" s="277"/>
      <c r="AG47" s="277"/>
      <c r="AH47" s="277"/>
      <c r="AI47" s="277"/>
      <c r="AJ47" s="277"/>
      <c r="AK47" s="277"/>
      <c r="AL47" s="277"/>
      <c r="AM47" s="277"/>
      <c r="AN47" s="277"/>
      <c r="AO47" s="277"/>
      <c r="AP47" s="277"/>
      <c r="AQ47" s="277"/>
      <c r="AR47" s="277"/>
      <c r="AS47" s="277"/>
      <c r="AT47" s="277"/>
      <c r="AU47" s="277"/>
    </row>
    <row r="48" spans="1:86" s="75" customFormat="1" ht="13.5" customHeight="1">
      <c r="A48" s="69"/>
      <c r="B48" s="70"/>
      <c r="C48" s="71"/>
      <c r="D48" s="107" t="s">
        <v>115</v>
      </c>
      <c r="E48" s="71"/>
      <c r="F48" s="108"/>
      <c r="G48" s="73"/>
      <c r="H48" s="73"/>
      <c r="I48" s="106"/>
      <c r="J48" s="279"/>
      <c r="K48" s="277"/>
      <c r="L48" s="277"/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</row>
    <row r="49" spans="1:47" s="95" customFormat="1" ht="13.5" customHeight="1">
      <c r="A49" s="88"/>
      <c r="B49" s="89"/>
      <c r="C49" s="90"/>
      <c r="D49" s="96" t="s">
        <v>116</v>
      </c>
      <c r="E49" s="91"/>
      <c r="F49" s="98">
        <f>3.1+3.04+3.9+1.89</f>
        <v>11.930000000000001</v>
      </c>
      <c r="G49" s="93"/>
      <c r="H49" s="94"/>
      <c r="I49" s="74"/>
      <c r="J49" s="97"/>
    </row>
    <row r="50" spans="1:47" s="95" customFormat="1" ht="27" customHeight="1">
      <c r="A50" s="88"/>
      <c r="B50" s="89"/>
      <c r="C50" s="90"/>
      <c r="D50" s="96" t="s">
        <v>117</v>
      </c>
      <c r="E50" s="91"/>
      <c r="F50" s="98">
        <f>4.5+3.15+5.06+15.53+6.88+4.45+1.51+4.11</f>
        <v>45.190000000000005</v>
      </c>
      <c r="G50" s="93"/>
      <c r="H50" s="94"/>
      <c r="I50" s="74"/>
      <c r="J50" s="97"/>
    </row>
    <row r="51" spans="1:47" s="95" customFormat="1" ht="27" customHeight="1">
      <c r="A51" s="88"/>
      <c r="B51" s="89"/>
      <c r="C51" s="90"/>
      <c r="D51" s="96" t="s">
        <v>118</v>
      </c>
      <c r="E51" s="91"/>
      <c r="F51" s="98">
        <f>15.55+4+1.61+4.45+6.88+4.17+3.02+4.87</f>
        <v>44.550000000000004</v>
      </c>
      <c r="G51" s="93"/>
      <c r="H51" s="94"/>
      <c r="I51" s="74"/>
      <c r="J51" s="97"/>
    </row>
    <row r="52" spans="1:47" s="95" customFormat="1" ht="27" customHeight="1">
      <c r="A52" s="88"/>
      <c r="B52" s="89"/>
      <c r="C52" s="90"/>
      <c r="D52" s="96" t="s">
        <v>119</v>
      </c>
      <c r="E52" s="91"/>
      <c r="F52" s="98">
        <f>7.75+1.49+3.36+9.9+4.73+6.85+2.08+3.08+7</f>
        <v>46.239999999999995</v>
      </c>
      <c r="G52" s="93"/>
      <c r="H52" s="94"/>
      <c r="I52" s="74"/>
      <c r="J52" s="97"/>
    </row>
    <row r="53" spans="1:47" s="95" customFormat="1" ht="13.5" customHeight="1">
      <c r="A53" s="88"/>
      <c r="B53" s="89"/>
      <c r="C53" s="90"/>
      <c r="D53" s="96" t="s">
        <v>120</v>
      </c>
      <c r="E53" s="91"/>
      <c r="F53" s="98">
        <f>1.65+4.22+2.89+4.83+2.28+2.94</f>
        <v>18.809999999999999</v>
      </c>
      <c r="G53" s="93"/>
      <c r="H53" s="94"/>
      <c r="I53" s="74"/>
      <c r="J53" s="97"/>
    </row>
    <row r="54" spans="1:47" s="95" customFormat="1" ht="13.5" customHeight="1">
      <c r="A54" s="88"/>
      <c r="B54" s="89"/>
      <c r="C54" s="90"/>
      <c r="D54" s="96" t="s">
        <v>121</v>
      </c>
      <c r="E54" s="91"/>
      <c r="F54" s="98">
        <f>4.34+3.32</f>
        <v>7.66</v>
      </c>
      <c r="G54" s="93"/>
      <c r="H54" s="94"/>
      <c r="I54" s="74"/>
      <c r="J54" s="97"/>
    </row>
    <row r="55" spans="1:47" s="75" customFormat="1" ht="13.5" customHeight="1">
      <c r="A55" s="69"/>
      <c r="B55" s="70"/>
      <c r="C55" s="71"/>
      <c r="D55" s="107" t="s">
        <v>122</v>
      </c>
      <c r="E55" s="71"/>
      <c r="F55" s="108">
        <v>200</v>
      </c>
      <c r="G55" s="73"/>
      <c r="H55" s="73"/>
      <c r="I55" s="106"/>
      <c r="J55" s="279"/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7"/>
      <c r="AH55" s="277"/>
      <c r="AI55" s="277"/>
      <c r="AJ55" s="277"/>
      <c r="AK55" s="277"/>
      <c r="AL55" s="277"/>
      <c r="AM55" s="277"/>
      <c r="AN55" s="277"/>
      <c r="AO55" s="277"/>
      <c r="AP55" s="277"/>
      <c r="AQ55" s="277"/>
      <c r="AR55" s="277"/>
      <c r="AS55" s="277"/>
      <c r="AT55" s="277"/>
      <c r="AU55" s="277"/>
    </row>
    <row r="56" spans="1:47" s="95" customFormat="1" ht="13.5" customHeight="1">
      <c r="A56" s="88">
        <v>10</v>
      </c>
      <c r="B56" s="89" t="s">
        <v>45</v>
      </c>
      <c r="C56" s="109">
        <v>962031132</v>
      </c>
      <c r="D56" s="110" t="s">
        <v>123</v>
      </c>
      <c r="E56" s="111" t="s">
        <v>36</v>
      </c>
      <c r="F56" s="112">
        <f>SUM(F57:F62)</f>
        <v>169.42</v>
      </c>
      <c r="G56" s="113"/>
      <c r="H56" s="94">
        <f>F56*G56</f>
        <v>0</v>
      </c>
      <c r="I56" s="106" t="s">
        <v>37</v>
      </c>
      <c r="J56" s="278"/>
      <c r="L56" s="319"/>
    </row>
    <row r="57" spans="1:47" s="95" customFormat="1" ht="13.5" customHeight="1">
      <c r="A57" s="88"/>
      <c r="B57" s="89"/>
      <c r="C57" s="109"/>
      <c r="D57" s="102" t="s">
        <v>124</v>
      </c>
      <c r="E57" s="111"/>
      <c r="F57" s="98">
        <f>2.05*2.75-0.7*2.02</f>
        <v>4.2234999999999996</v>
      </c>
      <c r="G57" s="113"/>
      <c r="H57" s="94"/>
      <c r="I57" s="74"/>
      <c r="J57" s="337"/>
      <c r="K57" s="337"/>
      <c r="L57" s="38"/>
      <c r="M57" s="38"/>
    </row>
    <row r="58" spans="1:47" s="95" customFormat="1" ht="13.5" customHeight="1">
      <c r="A58" s="88"/>
      <c r="B58" s="89"/>
      <c r="C58" s="109"/>
      <c r="D58" s="102" t="s">
        <v>362</v>
      </c>
      <c r="E58" s="111"/>
      <c r="F58" s="98">
        <f>15.15*3.65-8.28+0.1*2.02</f>
        <v>47.219499999999996</v>
      </c>
      <c r="G58" s="113"/>
      <c r="H58" s="94"/>
      <c r="I58" s="74"/>
      <c r="J58" s="337"/>
      <c r="K58" s="337"/>
      <c r="L58" s="38"/>
      <c r="M58" s="38"/>
    </row>
    <row r="59" spans="1:47" s="95" customFormat="1" ht="13.5" customHeight="1">
      <c r="A59" s="88"/>
      <c r="B59" s="89"/>
      <c r="C59" s="109"/>
      <c r="D59" s="102" t="s">
        <v>363</v>
      </c>
      <c r="E59" s="111"/>
      <c r="F59" s="98">
        <f>14.85*3.65-8.28+0.1*2.02</f>
        <v>46.124499999999998</v>
      </c>
      <c r="G59" s="113"/>
      <c r="H59" s="94"/>
      <c r="I59" s="74"/>
      <c r="J59" s="337"/>
      <c r="K59" s="337"/>
      <c r="L59" s="38"/>
      <c r="M59" s="38"/>
    </row>
    <row r="60" spans="1:47" s="95" customFormat="1" ht="13.5" customHeight="1">
      <c r="A60" s="88"/>
      <c r="B60" s="89"/>
      <c r="C60" s="109"/>
      <c r="D60" s="102" t="s">
        <v>125</v>
      </c>
      <c r="E60" s="111"/>
      <c r="F60" s="98">
        <f>18.85*3.65-13.74</f>
        <v>55.062500000000007</v>
      </c>
      <c r="G60" s="113"/>
      <c r="H60" s="94"/>
      <c r="I60" s="74"/>
      <c r="J60" s="337"/>
      <c r="K60" s="337"/>
      <c r="L60" s="38"/>
      <c r="M60" s="38"/>
    </row>
    <row r="61" spans="1:47" s="95" customFormat="1" ht="13.5" customHeight="1">
      <c r="A61" s="88"/>
      <c r="B61" s="89"/>
      <c r="C61" s="109"/>
      <c r="D61" s="102" t="s">
        <v>126</v>
      </c>
      <c r="E61" s="111"/>
      <c r="F61" s="98">
        <f>3.6*3.65</f>
        <v>13.14</v>
      </c>
      <c r="G61" s="113"/>
      <c r="H61" s="94"/>
      <c r="I61" s="74"/>
      <c r="J61" s="337"/>
      <c r="K61" s="337"/>
      <c r="L61" s="38"/>
      <c r="M61" s="38"/>
    </row>
    <row r="62" spans="1:47" s="95" customFormat="1" ht="13.5" customHeight="1">
      <c r="A62" s="88"/>
      <c r="B62" s="89"/>
      <c r="C62" s="109"/>
      <c r="D62" s="102" t="s">
        <v>127</v>
      </c>
      <c r="E62" s="111"/>
      <c r="F62" s="98">
        <f>1*3.65</f>
        <v>3.65</v>
      </c>
      <c r="G62" s="113"/>
      <c r="H62" s="94"/>
      <c r="I62" s="74"/>
      <c r="J62" s="337"/>
      <c r="K62" s="337"/>
      <c r="L62" s="38"/>
      <c r="M62" s="38"/>
    </row>
    <row r="63" spans="1:47" s="95" customFormat="1" ht="13.5" customHeight="1">
      <c r="A63" s="88">
        <v>11</v>
      </c>
      <c r="B63" s="89" t="s">
        <v>45</v>
      </c>
      <c r="C63" s="109">
        <v>962031133</v>
      </c>
      <c r="D63" s="110" t="s">
        <v>46</v>
      </c>
      <c r="E63" s="111" t="s">
        <v>36</v>
      </c>
      <c r="F63" s="112">
        <f>SUM(F64:F65)</f>
        <v>9.9055</v>
      </c>
      <c r="G63" s="113"/>
      <c r="H63" s="94">
        <f>F63*G63</f>
        <v>0</v>
      </c>
      <c r="I63" s="106" t="s">
        <v>37</v>
      </c>
    </row>
    <row r="64" spans="1:47" s="95" customFormat="1" ht="13.5" customHeight="1">
      <c r="A64" s="88"/>
      <c r="B64" s="89"/>
      <c r="C64" s="109"/>
      <c r="D64" s="102" t="s">
        <v>128</v>
      </c>
      <c r="E64" s="111"/>
      <c r="F64" s="98">
        <f>1.4*3.65-0.9*2.02</f>
        <v>3.2919999999999994</v>
      </c>
      <c r="G64" s="113"/>
      <c r="H64" s="94"/>
      <c r="I64" s="74"/>
      <c r="J64" s="278"/>
      <c r="K64" s="38"/>
      <c r="L64" s="38"/>
      <c r="M64" s="38"/>
    </row>
    <row r="65" spans="1:74" s="95" customFormat="1" ht="13.5" customHeight="1">
      <c r="A65" s="88"/>
      <c r="B65" s="89"/>
      <c r="C65" s="109"/>
      <c r="D65" s="102" t="s">
        <v>129</v>
      </c>
      <c r="E65" s="111"/>
      <c r="F65" s="98">
        <f>2.31*3.65-0.9*2.02</f>
        <v>6.6135000000000002</v>
      </c>
      <c r="G65" s="113"/>
      <c r="H65" s="94"/>
      <c r="I65" s="74"/>
      <c r="K65" s="38"/>
      <c r="L65" s="38"/>
      <c r="M65" s="38"/>
    </row>
    <row r="66" spans="1:74" s="75" customFormat="1" ht="13.5" customHeight="1">
      <c r="A66" s="69">
        <v>12</v>
      </c>
      <c r="B66" s="70" t="s">
        <v>45</v>
      </c>
      <c r="C66" s="71">
        <v>962081141</v>
      </c>
      <c r="D66" s="71" t="s">
        <v>47</v>
      </c>
      <c r="E66" s="71" t="s">
        <v>36</v>
      </c>
      <c r="F66" s="105">
        <f>SUM(F67:F69)</f>
        <v>6</v>
      </c>
      <c r="G66" s="73"/>
      <c r="H66" s="73">
        <f>F66*G66</f>
        <v>0</v>
      </c>
      <c r="I66" s="106" t="s">
        <v>37</v>
      </c>
      <c r="J66" s="280"/>
      <c r="K66" s="277"/>
      <c r="L66" s="277"/>
      <c r="M66" s="277"/>
      <c r="N66" s="277"/>
      <c r="O66" s="277"/>
      <c r="P66" s="277"/>
      <c r="Q66" s="277"/>
      <c r="R66" s="277"/>
      <c r="S66" s="277"/>
      <c r="T66" s="277"/>
      <c r="U66" s="277"/>
      <c r="V66" s="277"/>
      <c r="W66" s="277"/>
      <c r="X66" s="277"/>
      <c r="Y66" s="277"/>
      <c r="Z66" s="277"/>
      <c r="AA66" s="277"/>
      <c r="AB66" s="277"/>
      <c r="AC66" s="277"/>
      <c r="AD66" s="277"/>
      <c r="AE66" s="277"/>
      <c r="AF66" s="277"/>
      <c r="AG66" s="277"/>
      <c r="AH66" s="277"/>
      <c r="AI66" s="277"/>
      <c r="AJ66" s="277"/>
      <c r="AK66" s="277"/>
      <c r="AL66" s="277"/>
      <c r="AM66" s="277"/>
      <c r="AN66" s="277"/>
      <c r="AO66" s="277"/>
      <c r="AP66" s="277"/>
      <c r="AQ66" s="277"/>
      <c r="AR66" s="277"/>
      <c r="AS66" s="277"/>
      <c r="AT66" s="277"/>
      <c r="AU66" s="277"/>
    </row>
    <row r="67" spans="1:74" s="75" customFormat="1" ht="13.5" customHeight="1">
      <c r="A67" s="69"/>
      <c r="B67" s="70"/>
      <c r="C67" s="71"/>
      <c r="D67" s="107" t="s">
        <v>130</v>
      </c>
      <c r="E67" s="71"/>
      <c r="F67" s="108">
        <f>(1.6*1)*1</f>
        <v>1.6</v>
      </c>
      <c r="G67" s="73"/>
      <c r="H67" s="73"/>
      <c r="I67" s="106"/>
      <c r="J67" s="278"/>
      <c r="K67" s="277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277"/>
      <c r="AJ67" s="277"/>
      <c r="AK67" s="277"/>
      <c r="AL67" s="277"/>
      <c r="AM67" s="277"/>
      <c r="AN67" s="277"/>
      <c r="AO67" s="277"/>
      <c r="AP67" s="277"/>
      <c r="AQ67" s="277"/>
      <c r="AR67" s="277"/>
      <c r="AS67" s="277"/>
      <c r="AT67" s="277"/>
      <c r="AU67" s="277"/>
    </row>
    <row r="68" spans="1:74" s="75" customFormat="1" ht="13.5" customHeight="1">
      <c r="A68" s="69"/>
      <c r="B68" s="70"/>
      <c r="C68" s="71"/>
      <c r="D68" s="107" t="s">
        <v>131</v>
      </c>
      <c r="E68" s="71"/>
      <c r="F68" s="108">
        <f>(1.6*1)*1+(1.2*1)*1</f>
        <v>2.8</v>
      </c>
      <c r="G68" s="73"/>
      <c r="H68" s="73"/>
      <c r="I68" s="106"/>
      <c r="J68" s="280"/>
      <c r="K68" s="277"/>
      <c r="L68" s="277"/>
      <c r="M68" s="277"/>
      <c r="N68" s="277"/>
      <c r="O68" s="277"/>
      <c r="P68" s="277"/>
      <c r="Q68" s="277"/>
      <c r="R68" s="277"/>
      <c r="S68" s="277"/>
      <c r="T68" s="277"/>
      <c r="U68" s="277"/>
      <c r="V68" s="277"/>
      <c r="W68" s="277"/>
      <c r="X68" s="277"/>
      <c r="Y68" s="277"/>
      <c r="Z68" s="277"/>
      <c r="AA68" s="277"/>
      <c r="AB68" s="277"/>
      <c r="AC68" s="277"/>
      <c r="AD68" s="277"/>
      <c r="AE68" s="277"/>
      <c r="AF68" s="277"/>
      <c r="AG68" s="277"/>
      <c r="AH68" s="277"/>
      <c r="AI68" s="277"/>
      <c r="AJ68" s="277"/>
      <c r="AK68" s="277"/>
      <c r="AL68" s="277"/>
      <c r="AM68" s="277"/>
      <c r="AN68" s="277"/>
      <c r="AO68" s="277"/>
      <c r="AP68" s="277"/>
      <c r="AQ68" s="277"/>
      <c r="AR68" s="277"/>
      <c r="AS68" s="277"/>
      <c r="AT68" s="277"/>
      <c r="AU68" s="277"/>
    </row>
    <row r="69" spans="1:74" s="75" customFormat="1" ht="13.5" customHeight="1">
      <c r="A69" s="69"/>
      <c r="B69" s="70"/>
      <c r="C69" s="71"/>
      <c r="D69" s="107" t="s">
        <v>132</v>
      </c>
      <c r="E69" s="71"/>
      <c r="F69" s="108">
        <f>(0.8*1)*2</f>
        <v>1.6</v>
      </c>
      <c r="G69" s="73"/>
      <c r="H69" s="73"/>
      <c r="I69" s="106"/>
      <c r="J69" s="279"/>
      <c r="K69" s="277"/>
      <c r="L69" s="277"/>
      <c r="M69" s="277"/>
      <c r="N69" s="277"/>
      <c r="O69" s="277"/>
      <c r="P69" s="277"/>
      <c r="Q69" s="277"/>
      <c r="R69" s="277"/>
      <c r="S69" s="277"/>
      <c r="T69" s="277"/>
      <c r="U69" s="277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77"/>
      <c r="AS69" s="277"/>
      <c r="AT69" s="277"/>
      <c r="AU69" s="277"/>
    </row>
    <row r="70" spans="1:74" s="41" customFormat="1" ht="13.5" customHeight="1">
      <c r="A70" s="88">
        <v>13</v>
      </c>
      <c r="B70" s="89" t="s">
        <v>45</v>
      </c>
      <c r="C70" s="109">
        <v>962032241</v>
      </c>
      <c r="D70" s="110" t="s">
        <v>133</v>
      </c>
      <c r="E70" s="111" t="s">
        <v>134</v>
      </c>
      <c r="F70" s="112">
        <f>SUM(F71:F73)</f>
        <v>1.8432500000000001</v>
      </c>
      <c r="G70" s="113"/>
      <c r="H70" s="94">
        <f>F70*G70</f>
        <v>0</v>
      </c>
      <c r="I70" s="74" t="s">
        <v>37</v>
      </c>
      <c r="J70" s="125"/>
    </row>
    <row r="71" spans="1:74" s="41" customFormat="1" ht="13.5" customHeight="1">
      <c r="A71" s="88"/>
      <c r="B71" s="91"/>
      <c r="C71" s="109"/>
      <c r="D71" s="102" t="s">
        <v>135</v>
      </c>
      <c r="E71" s="111"/>
      <c r="F71" s="98">
        <f>0.2*(1.05*3.65)</f>
        <v>0.76650000000000007</v>
      </c>
      <c r="G71" s="113"/>
      <c r="H71" s="94"/>
      <c r="I71" s="74"/>
      <c r="K71" s="38"/>
      <c r="L71" s="38"/>
      <c r="M71" s="38"/>
    </row>
    <row r="72" spans="1:74" s="41" customFormat="1" ht="13.5" customHeight="1">
      <c r="A72" s="88"/>
      <c r="B72" s="91"/>
      <c r="C72" s="109"/>
      <c r="D72" s="102" t="s">
        <v>136</v>
      </c>
      <c r="E72" s="111"/>
      <c r="F72" s="98">
        <f>0.2*(0.6*3.65)</f>
        <v>0.438</v>
      </c>
      <c r="G72" s="113"/>
      <c r="H72" s="94"/>
      <c r="I72" s="74"/>
      <c r="J72" s="319"/>
      <c r="K72" s="38"/>
      <c r="L72" s="38"/>
      <c r="M72" s="38"/>
    </row>
    <row r="73" spans="1:74" s="41" customFormat="1" ht="13.5" customHeight="1">
      <c r="A73" s="88"/>
      <c r="B73" s="91"/>
      <c r="C73" s="109"/>
      <c r="D73" s="102" t="s">
        <v>137</v>
      </c>
      <c r="E73" s="111"/>
      <c r="F73" s="98">
        <f>0.35*(0.5*3.65)</f>
        <v>0.63874999999999993</v>
      </c>
      <c r="G73" s="113"/>
      <c r="H73" s="94"/>
      <c r="I73" s="74"/>
      <c r="K73" s="38"/>
      <c r="L73" s="38"/>
      <c r="M73" s="38"/>
    </row>
    <row r="74" spans="1:74" s="75" customFormat="1" ht="27" customHeight="1">
      <c r="A74" s="69">
        <v>14</v>
      </c>
      <c r="B74" s="70" t="s">
        <v>45</v>
      </c>
      <c r="C74" s="71" t="s">
        <v>138</v>
      </c>
      <c r="D74" s="71" t="s">
        <v>139</v>
      </c>
      <c r="E74" s="71" t="s">
        <v>60</v>
      </c>
      <c r="F74" s="105">
        <f>SUM(F75:F75)</f>
        <v>1</v>
      </c>
      <c r="G74" s="73"/>
      <c r="H74" s="73">
        <f>F74*G74</f>
        <v>0</v>
      </c>
      <c r="I74" s="106" t="s">
        <v>90</v>
      </c>
      <c r="J74" s="280"/>
      <c r="K74" s="38"/>
      <c r="L74" s="277"/>
      <c r="M74" s="277"/>
      <c r="N74" s="277"/>
      <c r="O74" s="277"/>
      <c r="P74" s="281"/>
      <c r="Q74" s="277"/>
      <c r="R74" s="277"/>
      <c r="S74" s="277"/>
      <c r="T74" s="277"/>
      <c r="U74" s="277"/>
      <c r="V74" s="277"/>
      <c r="W74" s="277"/>
      <c r="X74" s="277"/>
      <c r="Y74" s="277"/>
      <c r="Z74" s="277"/>
      <c r="AA74" s="277"/>
      <c r="AB74" s="277"/>
      <c r="AC74" s="277"/>
      <c r="AD74" s="277"/>
      <c r="AE74" s="277"/>
      <c r="AF74" s="277"/>
      <c r="AG74" s="277"/>
      <c r="AH74" s="277"/>
      <c r="AI74" s="277"/>
      <c r="AJ74" s="277"/>
      <c r="AK74" s="277"/>
      <c r="AL74" s="277"/>
      <c r="AM74" s="277"/>
      <c r="AN74" s="277"/>
      <c r="AO74" s="277"/>
      <c r="AP74" s="277"/>
      <c r="AQ74" s="277"/>
      <c r="AR74" s="277"/>
      <c r="AS74" s="277"/>
      <c r="AT74" s="277"/>
      <c r="AU74" s="277"/>
    </row>
    <row r="75" spans="1:74" s="75" customFormat="1" ht="27" customHeight="1">
      <c r="A75" s="69"/>
      <c r="B75" s="70"/>
      <c r="C75" s="71"/>
      <c r="D75" s="107" t="s">
        <v>140</v>
      </c>
      <c r="E75" s="71"/>
      <c r="F75" s="108">
        <v>1</v>
      </c>
      <c r="G75" s="73"/>
      <c r="H75" s="73"/>
      <c r="I75" s="321"/>
      <c r="J75" s="279"/>
      <c r="K75" s="277"/>
      <c r="L75" s="277"/>
      <c r="M75" s="277"/>
      <c r="N75" s="277"/>
      <c r="O75" s="277"/>
      <c r="P75" s="277"/>
      <c r="Q75" s="277"/>
      <c r="R75" s="277"/>
      <c r="S75" s="277"/>
      <c r="T75" s="277"/>
      <c r="U75" s="277"/>
      <c r="V75" s="277"/>
      <c r="W75" s="277"/>
      <c r="X75" s="277"/>
      <c r="Y75" s="277"/>
      <c r="Z75" s="277"/>
      <c r="AA75" s="277"/>
      <c r="AB75" s="277"/>
      <c r="AC75" s="277"/>
      <c r="AD75" s="277"/>
      <c r="AE75" s="277"/>
      <c r="AF75" s="277"/>
      <c r="AG75" s="277"/>
      <c r="AH75" s="277"/>
      <c r="AI75" s="277"/>
      <c r="AJ75" s="277"/>
      <c r="AK75" s="277"/>
      <c r="AL75" s="277"/>
      <c r="AM75" s="277"/>
      <c r="AN75" s="277"/>
      <c r="AO75" s="277"/>
      <c r="AP75" s="277"/>
      <c r="AQ75" s="277"/>
      <c r="AR75" s="277"/>
      <c r="AS75" s="277"/>
      <c r="AT75" s="277"/>
      <c r="AU75" s="277"/>
    </row>
    <row r="76" spans="1:74" s="75" customFormat="1" ht="13.5" customHeight="1">
      <c r="A76" s="121"/>
      <c r="B76" s="123"/>
      <c r="C76" s="123"/>
      <c r="D76" s="78" t="s">
        <v>141</v>
      </c>
      <c r="E76" s="123"/>
      <c r="F76" s="79"/>
      <c r="G76" s="146"/>
      <c r="H76" s="73"/>
      <c r="I76" s="118"/>
      <c r="J76" s="280"/>
      <c r="K76" s="277"/>
      <c r="L76" s="282"/>
      <c r="M76" s="277"/>
      <c r="N76" s="277"/>
      <c r="O76" s="277"/>
      <c r="P76" s="277"/>
      <c r="Q76" s="277"/>
      <c r="R76" s="277"/>
      <c r="S76" s="277"/>
      <c r="T76" s="277"/>
      <c r="U76" s="277"/>
      <c r="V76" s="277"/>
      <c r="W76" s="277"/>
      <c r="X76" s="277"/>
      <c r="Y76" s="277"/>
      <c r="Z76" s="277"/>
      <c r="AA76" s="277"/>
      <c r="AB76" s="277"/>
      <c r="AC76" s="277"/>
      <c r="AD76" s="277"/>
      <c r="AE76" s="277"/>
      <c r="AF76" s="277"/>
      <c r="AG76" s="277"/>
      <c r="AH76" s="277"/>
      <c r="AI76" s="277"/>
      <c r="AJ76" s="277"/>
      <c r="AK76" s="277"/>
      <c r="AL76" s="277"/>
      <c r="AM76" s="277"/>
      <c r="AN76" s="277"/>
      <c r="AO76" s="277"/>
      <c r="AP76" s="277"/>
      <c r="AQ76" s="277"/>
      <c r="AR76" s="277"/>
      <c r="AS76" s="277"/>
      <c r="AT76" s="277"/>
      <c r="AU76" s="277"/>
    </row>
    <row r="77" spans="1:74" s="8" customFormat="1" ht="67.5" customHeight="1">
      <c r="A77" s="121"/>
      <c r="B77" s="122"/>
      <c r="C77" s="123"/>
      <c r="D77" s="320" t="s">
        <v>313</v>
      </c>
      <c r="E77" s="78"/>
      <c r="F77" s="79"/>
      <c r="G77" s="73"/>
      <c r="H77" s="73"/>
      <c r="I77" s="118"/>
      <c r="J77" s="277"/>
      <c r="K77" s="277"/>
      <c r="L77" s="277"/>
      <c r="M77" s="277"/>
      <c r="N77" s="277"/>
      <c r="O77" s="277"/>
      <c r="P77" s="277"/>
      <c r="Q77" s="277"/>
      <c r="R77" s="277"/>
      <c r="S77" s="277"/>
      <c r="T77" s="277"/>
      <c r="U77" s="277"/>
      <c r="V77" s="277"/>
      <c r="W77" s="277"/>
      <c r="X77" s="277"/>
      <c r="Y77" s="277"/>
      <c r="Z77" s="277"/>
      <c r="AA77" s="277"/>
      <c r="AB77" s="277"/>
      <c r="AC77" s="277"/>
      <c r="AD77" s="277"/>
      <c r="AE77" s="277"/>
      <c r="AF77" s="277"/>
      <c r="AG77" s="277"/>
      <c r="AH77" s="277"/>
      <c r="AI77" s="277"/>
      <c r="AJ77" s="277"/>
      <c r="AK77" s="277"/>
      <c r="AL77" s="277"/>
      <c r="AM77" s="277"/>
      <c r="AN77" s="277"/>
      <c r="AO77" s="277"/>
      <c r="AP77" s="277"/>
      <c r="AQ77" s="277"/>
      <c r="AR77" s="277"/>
      <c r="AS77" s="277"/>
      <c r="AT77" s="277"/>
      <c r="AU77" s="277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</row>
    <row r="78" spans="1:74" s="75" customFormat="1" ht="27" customHeight="1">
      <c r="A78" s="69">
        <v>15</v>
      </c>
      <c r="B78" s="70" t="s">
        <v>45</v>
      </c>
      <c r="C78" s="71" t="s">
        <v>359</v>
      </c>
      <c r="D78" s="71" t="s">
        <v>139</v>
      </c>
      <c r="E78" s="71" t="s">
        <v>60</v>
      </c>
      <c r="F78" s="105">
        <f>SUM(F79:F80)</f>
        <v>2</v>
      </c>
      <c r="G78" s="73"/>
      <c r="H78" s="73">
        <f>F78*G78</f>
        <v>0</v>
      </c>
      <c r="I78" s="106" t="s">
        <v>90</v>
      </c>
      <c r="J78" s="280"/>
      <c r="K78" s="38"/>
      <c r="L78" s="277"/>
      <c r="M78" s="277"/>
      <c r="N78" s="277"/>
      <c r="O78" s="277"/>
      <c r="P78" s="281"/>
      <c r="Q78" s="277"/>
      <c r="R78" s="277"/>
      <c r="S78" s="277"/>
      <c r="T78" s="277"/>
      <c r="U78" s="277"/>
      <c r="V78" s="277"/>
      <c r="W78" s="277"/>
      <c r="X78" s="277"/>
      <c r="Y78" s="277"/>
      <c r="Z78" s="277"/>
      <c r="AA78" s="277"/>
      <c r="AB78" s="277"/>
      <c r="AC78" s="277"/>
      <c r="AD78" s="277"/>
      <c r="AE78" s="277"/>
      <c r="AF78" s="277"/>
      <c r="AG78" s="277"/>
      <c r="AH78" s="277"/>
      <c r="AI78" s="277"/>
      <c r="AJ78" s="277"/>
      <c r="AK78" s="277"/>
      <c r="AL78" s="277"/>
      <c r="AM78" s="277"/>
      <c r="AN78" s="277"/>
      <c r="AO78" s="277"/>
      <c r="AP78" s="277"/>
      <c r="AQ78" s="277"/>
      <c r="AR78" s="277"/>
      <c r="AS78" s="277"/>
      <c r="AT78" s="277"/>
      <c r="AU78" s="277"/>
    </row>
    <row r="79" spans="1:74" s="75" customFormat="1" ht="27" customHeight="1">
      <c r="A79" s="69"/>
      <c r="B79" s="70"/>
      <c r="C79" s="71"/>
      <c r="D79" s="107" t="s">
        <v>357</v>
      </c>
      <c r="E79" s="71"/>
      <c r="F79" s="108">
        <v>1</v>
      </c>
      <c r="G79" s="73"/>
      <c r="H79" s="73"/>
      <c r="I79" s="321"/>
      <c r="J79" s="279"/>
      <c r="K79" s="277"/>
      <c r="L79" s="277"/>
      <c r="M79" s="277"/>
      <c r="N79" s="277"/>
      <c r="O79" s="277"/>
      <c r="P79" s="277"/>
      <c r="Q79" s="277"/>
      <c r="R79" s="277"/>
      <c r="S79" s="277"/>
      <c r="T79" s="277"/>
      <c r="U79" s="277"/>
      <c r="V79" s="277"/>
      <c r="W79" s="277"/>
      <c r="X79" s="277"/>
      <c r="Y79" s="277"/>
      <c r="Z79" s="277"/>
      <c r="AA79" s="277"/>
      <c r="AB79" s="277"/>
      <c r="AC79" s="277"/>
      <c r="AD79" s="277"/>
      <c r="AE79" s="277"/>
      <c r="AF79" s="277"/>
      <c r="AG79" s="277"/>
      <c r="AH79" s="277"/>
      <c r="AI79" s="277"/>
      <c r="AJ79" s="277"/>
      <c r="AK79" s="277"/>
      <c r="AL79" s="277"/>
      <c r="AM79" s="277"/>
      <c r="AN79" s="277"/>
      <c r="AO79" s="277"/>
      <c r="AP79" s="277"/>
      <c r="AQ79" s="277"/>
      <c r="AR79" s="277"/>
      <c r="AS79" s="277"/>
      <c r="AT79" s="277"/>
      <c r="AU79" s="277"/>
    </row>
    <row r="80" spans="1:74" s="75" customFormat="1" ht="27" customHeight="1">
      <c r="A80" s="69"/>
      <c r="B80" s="70"/>
      <c r="C80" s="71"/>
      <c r="D80" s="107" t="s">
        <v>358</v>
      </c>
      <c r="E80" s="71"/>
      <c r="F80" s="108">
        <v>1</v>
      </c>
      <c r="G80" s="73"/>
      <c r="H80" s="73"/>
      <c r="I80" s="321"/>
      <c r="J80" s="279"/>
      <c r="K80" s="277"/>
      <c r="L80" s="277"/>
      <c r="M80" s="277"/>
      <c r="N80" s="277"/>
      <c r="O80" s="277"/>
      <c r="P80" s="277"/>
      <c r="Q80" s="277"/>
      <c r="R80" s="277"/>
      <c r="S80" s="277"/>
      <c r="T80" s="277"/>
      <c r="U80" s="277"/>
      <c r="V80" s="277"/>
      <c r="W80" s="277"/>
      <c r="X80" s="277"/>
      <c r="Y80" s="277"/>
      <c r="Z80" s="277"/>
      <c r="AA80" s="277"/>
      <c r="AB80" s="277"/>
      <c r="AC80" s="277"/>
      <c r="AD80" s="277"/>
      <c r="AE80" s="277"/>
      <c r="AF80" s="277"/>
      <c r="AG80" s="277"/>
      <c r="AH80" s="277"/>
      <c r="AI80" s="277"/>
      <c r="AJ80" s="277"/>
      <c r="AK80" s="277"/>
      <c r="AL80" s="277"/>
      <c r="AM80" s="277"/>
      <c r="AN80" s="277"/>
      <c r="AO80" s="277"/>
      <c r="AP80" s="277"/>
      <c r="AQ80" s="277"/>
      <c r="AR80" s="277"/>
      <c r="AS80" s="277"/>
      <c r="AT80" s="277"/>
      <c r="AU80" s="277"/>
    </row>
    <row r="81" spans="1:256" s="75" customFormat="1" ht="13.5" customHeight="1">
      <c r="A81" s="121"/>
      <c r="B81" s="123"/>
      <c r="C81" s="123"/>
      <c r="D81" s="78" t="s">
        <v>141</v>
      </c>
      <c r="E81" s="123"/>
      <c r="F81" s="79"/>
      <c r="G81" s="146"/>
      <c r="H81" s="73"/>
      <c r="I81" s="118"/>
      <c r="J81" s="280"/>
      <c r="K81" s="277"/>
      <c r="L81" s="282"/>
      <c r="M81" s="277"/>
      <c r="N81" s="277"/>
      <c r="O81" s="277"/>
      <c r="P81" s="277"/>
      <c r="Q81" s="277"/>
      <c r="R81" s="277"/>
      <c r="S81" s="277"/>
      <c r="T81" s="277"/>
      <c r="U81" s="277"/>
      <c r="V81" s="277"/>
      <c r="W81" s="277"/>
      <c r="X81" s="277"/>
      <c r="Y81" s="277"/>
      <c r="Z81" s="277"/>
      <c r="AA81" s="277"/>
      <c r="AB81" s="277"/>
      <c r="AC81" s="277"/>
      <c r="AD81" s="277"/>
      <c r="AE81" s="277"/>
      <c r="AF81" s="277"/>
      <c r="AG81" s="277"/>
      <c r="AH81" s="277"/>
      <c r="AI81" s="277"/>
      <c r="AJ81" s="277"/>
      <c r="AK81" s="277"/>
      <c r="AL81" s="277"/>
      <c r="AM81" s="277"/>
      <c r="AN81" s="277"/>
      <c r="AO81" s="277"/>
      <c r="AP81" s="277"/>
      <c r="AQ81" s="277"/>
      <c r="AR81" s="277"/>
      <c r="AS81" s="277"/>
      <c r="AT81" s="277"/>
      <c r="AU81" s="277"/>
    </row>
    <row r="82" spans="1:256" s="8" customFormat="1" ht="67.5" customHeight="1">
      <c r="A82" s="121"/>
      <c r="B82" s="122"/>
      <c r="C82" s="123"/>
      <c r="D82" s="320" t="s">
        <v>313</v>
      </c>
      <c r="E82" s="78"/>
      <c r="F82" s="79"/>
      <c r="G82" s="73"/>
      <c r="H82" s="73"/>
      <c r="I82" s="118"/>
      <c r="J82" s="277"/>
      <c r="K82" s="277"/>
      <c r="L82" s="277"/>
      <c r="M82" s="277"/>
      <c r="N82" s="277"/>
      <c r="O82" s="277"/>
      <c r="P82" s="277"/>
      <c r="Q82" s="277"/>
      <c r="R82" s="277"/>
      <c r="S82" s="277"/>
      <c r="T82" s="277"/>
      <c r="U82" s="277"/>
      <c r="V82" s="277"/>
      <c r="W82" s="277"/>
      <c r="X82" s="277"/>
      <c r="Y82" s="277"/>
      <c r="Z82" s="277"/>
      <c r="AA82" s="277"/>
      <c r="AB82" s="277"/>
      <c r="AC82" s="277"/>
      <c r="AD82" s="277"/>
      <c r="AE82" s="277"/>
      <c r="AF82" s="277"/>
      <c r="AG82" s="277"/>
      <c r="AH82" s="277"/>
      <c r="AI82" s="277"/>
      <c r="AJ82" s="277"/>
      <c r="AK82" s="277"/>
      <c r="AL82" s="277"/>
      <c r="AM82" s="277"/>
      <c r="AN82" s="277"/>
      <c r="AO82" s="277"/>
      <c r="AP82" s="277"/>
      <c r="AQ82" s="277"/>
      <c r="AR82" s="277"/>
      <c r="AS82" s="277"/>
      <c r="AT82" s="277"/>
      <c r="AU82" s="277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</row>
    <row r="83" spans="1:256" s="12" customFormat="1" ht="27" customHeight="1">
      <c r="A83" s="69">
        <v>16</v>
      </c>
      <c r="B83" s="70" t="s">
        <v>45</v>
      </c>
      <c r="C83" s="71" t="s">
        <v>48</v>
      </c>
      <c r="D83" s="114" t="s">
        <v>49</v>
      </c>
      <c r="E83" s="71" t="s">
        <v>36</v>
      </c>
      <c r="F83" s="105">
        <f>SUM(F84)</f>
        <v>1</v>
      </c>
      <c r="G83" s="115"/>
      <c r="H83" s="73">
        <f>F83*G83</f>
        <v>0</v>
      </c>
      <c r="I83" s="106" t="s">
        <v>50</v>
      </c>
      <c r="J83" s="281"/>
      <c r="K83" s="277"/>
      <c r="L83" s="277"/>
      <c r="M83" s="277"/>
      <c r="N83" s="277"/>
      <c r="O83" s="277"/>
      <c r="P83" s="277"/>
      <c r="Q83" s="277"/>
      <c r="R83" s="277"/>
      <c r="S83" s="277"/>
      <c r="T83" s="277"/>
      <c r="U83" s="277"/>
      <c r="V83" s="277"/>
      <c r="W83" s="277"/>
      <c r="X83" s="277"/>
      <c r="Y83" s="277"/>
      <c r="Z83" s="277"/>
      <c r="AA83" s="277"/>
      <c r="AB83" s="277"/>
      <c r="AC83" s="277"/>
      <c r="AD83" s="277"/>
      <c r="AE83" s="277"/>
      <c r="AF83" s="277"/>
      <c r="AG83" s="277"/>
      <c r="AH83" s="277"/>
      <c r="AI83" s="277"/>
      <c r="AJ83" s="277"/>
      <c r="AK83" s="277"/>
      <c r="AL83" s="277"/>
      <c r="AM83" s="277"/>
      <c r="AN83" s="277"/>
      <c r="AO83" s="277"/>
      <c r="AP83" s="277"/>
      <c r="AQ83" s="277"/>
      <c r="AR83" s="277"/>
      <c r="AS83" s="277"/>
      <c r="AT83" s="277"/>
      <c r="AU83" s="277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  <c r="IU83" s="8"/>
      <c r="IV83" s="8"/>
    </row>
    <row r="84" spans="1:256" s="12" customFormat="1" ht="40.5" customHeight="1">
      <c r="A84" s="69"/>
      <c r="B84" s="70"/>
      <c r="C84" s="71"/>
      <c r="D84" s="78" t="s">
        <v>142</v>
      </c>
      <c r="E84" s="71"/>
      <c r="F84" s="108">
        <v>1</v>
      </c>
      <c r="G84" s="115"/>
      <c r="H84" s="73"/>
      <c r="I84" s="106"/>
      <c r="J84" s="281"/>
      <c r="K84" s="277"/>
      <c r="L84" s="277"/>
      <c r="M84" s="277"/>
      <c r="N84" s="277"/>
      <c r="O84" s="277"/>
      <c r="P84" s="277"/>
      <c r="Q84" s="277"/>
      <c r="R84" s="277"/>
      <c r="S84" s="277"/>
      <c r="T84" s="277"/>
      <c r="U84" s="277"/>
      <c r="V84" s="277"/>
      <c r="W84" s="277"/>
      <c r="X84" s="277"/>
      <c r="Y84" s="277"/>
      <c r="Z84" s="277"/>
      <c r="AA84" s="277"/>
      <c r="AB84" s="277"/>
      <c r="AC84" s="277"/>
      <c r="AD84" s="277"/>
      <c r="AE84" s="277"/>
      <c r="AF84" s="277"/>
      <c r="AG84" s="277"/>
      <c r="AH84" s="277"/>
      <c r="AI84" s="277"/>
      <c r="AJ84" s="277"/>
      <c r="AK84" s="277"/>
      <c r="AL84" s="277"/>
      <c r="AM84" s="277"/>
      <c r="AN84" s="277"/>
      <c r="AO84" s="277"/>
      <c r="AP84" s="277"/>
      <c r="AQ84" s="277"/>
      <c r="AR84" s="277"/>
      <c r="AS84" s="277"/>
      <c r="AT84" s="277"/>
      <c r="AU84" s="277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  <c r="IU84" s="8"/>
      <c r="IV84" s="8"/>
    </row>
    <row r="85" spans="1:256" s="12" customFormat="1" ht="27" customHeight="1">
      <c r="A85" s="69"/>
      <c r="B85" s="70"/>
      <c r="C85" s="71"/>
      <c r="D85" s="78" t="s">
        <v>143</v>
      </c>
      <c r="E85" s="71"/>
      <c r="F85" s="105"/>
      <c r="G85" s="73"/>
      <c r="H85" s="73"/>
      <c r="I85" s="106"/>
      <c r="J85" s="337"/>
      <c r="K85" s="277"/>
      <c r="L85" s="283"/>
      <c r="M85" s="277"/>
      <c r="N85" s="277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K85" s="284"/>
      <c r="AL85" s="284"/>
      <c r="AM85" s="284"/>
      <c r="AN85" s="284"/>
      <c r="AO85" s="284"/>
      <c r="AP85" s="284"/>
      <c r="AQ85" s="284"/>
      <c r="AR85" s="284"/>
      <c r="AS85" s="284"/>
      <c r="AT85" s="284"/>
      <c r="AU85" s="284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6"/>
      <c r="BM85" s="116"/>
      <c r="BN85" s="116"/>
      <c r="BO85" s="116"/>
      <c r="BP85" s="116"/>
      <c r="BQ85" s="116"/>
      <c r="BR85" s="116"/>
      <c r="BS85" s="116"/>
      <c r="BT85" s="116"/>
      <c r="BU85" s="116"/>
      <c r="BV85" s="116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</row>
    <row r="86" spans="1:256" s="12" customFormat="1" ht="67.5" customHeight="1">
      <c r="A86" s="69"/>
      <c r="B86" s="70"/>
      <c r="C86" s="71"/>
      <c r="D86" s="320" t="s">
        <v>313</v>
      </c>
      <c r="E86" s="71"/>
      <c r="F86" s="79"/>
      <c r="G86" s="73"/>
      <c r="H86" s="73"/>
      <c r="I86" s="118"/>
      <c r="J86" s="285"/>
      <c r="K86" s="277"/>
      <c r="L86" s="277"/>
      <c r="M86" s="277"/>
      <c r="N86" s="277"/>
      <c r="O86" s="277"/>
      <c r="P86" s="277"/>
      <c r="Q86" s="277"/>
      <c r="R86" s="277"/>
      <c r="S86" s="277"/>
      <c r="T86" s="277"/>
      <c r="U86" s="277"/>
      <c r="V86" s="277"/>
      <c r="W86" s="277"/>
      <c r="X86" s="277"/>
      <c r="Y86" s="277"/>
      <c r="Z86" s="277"/>
      <c r="AA86" s="277"/>
      <c r="AB86" s="277"/>
      <c r="AC86" s="277"/>
      <c r="AD86" s="277"/>
      <c r="AE86" s="277"/>
      <c r="AF86" s="277"/>
      <c r="AG86" s="277"/>
      <c r="AH86" s="277"/>
      <c r="AI86" s="277"/>
      <c r="AJ86" s="277"/>
      <c r="AK86" s="277"/>
      <c r="AL86" s="277"/>
      <c r="AM86" s="277"/>
      <c r="AN86" s="277"/>
      <c r="AO86" s="277"/>
      <c r="AP86" s="277"/>
      <c r="AQ86" s="277"/>
      <c r="AR86" s="277"/>
      <c r="AS86" s="277"/>
      <c r="AT86" s="277"/>
      <c r="AU86" s="277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  <c r="IV86" s="8"/>
    </row>
    <row r="87" spans="1:256" s="8" customFormat="1" ht="29.25" customHeight="1">
      <c r="A87" s="69">
        <v>17</v>
      </c>
      <c r="B87" s="70" t="s">
        <v>45</v>
      </c>
      <c r="C87" s="71">
        <v>965042141</v>
      </c>
      <c r="D87" s="71" t="s">
        <v>144</v>
      </c>
      <c r="E87" s="71" t="s">
        <v>134</v>
      </c>
      <c r="F87" s="105">
        <f>SUM(F89:F94)</f>
        <v>3.7408799999999998</v>
      </c>
      <c r="G87" s="73"/>
      <c r="H87" s="73">
        <f>F87*G87</f>
        <v>0</v>
      </c>
      <c r="I87" s="226" t="s">
        <v>37</v>
      </c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7"/>
      <c r="W87" s="277"/>
      <c r="X87" s="277"/>
      <c r="Y87" s="277"/>
      <c r="Z87" s="277"/>
      <c r="AA87" s="277"/>
      <c r="AB87" s="277"/>
      <c r="AC87" s="277"/>
      <c r="AD87" s="277"/>
      <c r="AE87" s="277"/>
      <c r="AF87" s="277"/>
      <c r="AG87" s="277"/>
      <c r="AH87" s="277"/>
      <c r="AI87" s="277"/>
      <c r="AJ87" s="277"/>
      <c r="AK87" s="277"/>
      <c r="AL87" s="277"/>
      <c r="AM87" s="277"/>
      <c r="AN87" s="277"/>
      <c r="AO87" s="277"/>
      <c r="AP87" s="277"/>
      <c r="AQ87" s="277"/>
      <c r="AR87" s="277"/>
      <c r="AS87" s="277"/>
      <c r="AT87" s="277"/>
      <c r="AU87" s="277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</row>
    <row r="88" spans="1:256" s="8" customFormat="1" ht="13.5" customHeight="1">
      <c r="A88" s="69"/>
      <c r="B88" s="70"/>
      <c r="C88" s="71"/>
      <c r="D88" s="78" t="s">
        <v>145</v>
      </c>
      <c r="E88" s="71"/>
      <c r="F88" s="79"/>
      <c r="G88" s="73"/>
      <c r="H88" s="73"/>
      <c r="I88" s="81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7"/>
      <c r="W88" s="277"/>
      <c r="X88" s="277"/>
      <c r="Y88" s="277"/>
      <c r="Z88" s="277"/>
      <c r="AA88" s="277"/>
      <c r="AB88" s="277"/>
      <c r="AC88" s="277"/>
      <c r="AD88" s="277"/>
      <c r="AE88" s="277"/>
      <c r="AF88" s="277"/>
      <c r="AG88" s="277"/>
      <c r="AH88" s="277"/>
      <c r="AI88" s="277"/>
      <c r="AJ88" s="277"/>
      <c r="AK88" s="277"/>
      <c r="AL88" s="277"/>
      <c r="AM88" s="277"/>
      <c r="AN88" s="277"/>
      <c r="AO88" s="277"/>
      <c r="AP88" s="277"/>
      <c r="AQ88" s="277"/>
      <c r="AR88" s="277"/>
      <c r="AS88" s="277"/>
      <c r="AT88" s="277"/>
      <c r="AU88" s="277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</row>
    <row r="89" spans="1:256" s="8" customFormat="1" ht="13.5" customHeight="1">
      <c r="A89" s="69"/>
      <c r="B89" s="70"/>
      <c r="C89" s="71"/>
      <c r="D89" s="156" t="s">
        <v>146</v>
      </c>
      <c r="E89" s="71"/>
      <c r="F89" s="79">
        <f>(3.1+3.04+3.9+1.89)*0.022</f>
        <v>0.26246000000000003</v>
      </c>
      <c r="G89" s="73"/>
      <c r="H89" s="73"/>
      <c r="I89" s="81"/>
      <c r="J89" s="337"/>
      <c r="K89" s="277"/>
      <c r="L89" s="277"/>
      <c r="M89" s="277"/>
      <c r="N89" s="277"/>
      <c r="O89" s="277"/>
      <c r="P89" s="277"/>
      <c r="Q89" s="277"/>
      <c r="R89" s="277"/>
      <c r="S89" s="277"/>
      <c r="T89" s="277"/>
      <c r="U89" s="277"/>
      <c r="V89" s="277"/>
      <c r="W89" s="277"/>
      <c r="X89" s="277"/>
      <c r="Y89" s="277"/>
      <c r="Z89" s="277"/>
      <c r="AA89" s="277"/>
      <c r="AB89" s="277"/>
      <c r="AC89" s="277"/>
      <c r="AD89" s="277"/>
      <c r="AE89" s="277"/>
      <c r="AF89" s="277"/>
      <c r="AG89" s="277"/>
      <c r="AH89" s="277"/>
      <c r="AI89" s="277"/>
      <c r="AJ89" s="277"/>
      <c r="AK89" s="277"/>
      <c r="AL89" s="277"/>
      <c r="AM89" s="277"/>
      <c r="AN89" s="277"/>
      <c r="AO89" s="277"/>
      <c r="AP89" s="277"/>
      <c r="AQ89" s="277"/>
      <c r="AR89" s="277"/>
      <c r="AS89" s="277"/>
      <c r="AT89" s="277"/>
      <c r="AU89" s="277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</row>
    <row r="90" spans="1:256" s="8" customFormat="1" ht="13.5" customHeight="1">
      <c r="A90" s="69"/>
      <c r="B90" s="70"/>
      <c r="C90" s="71"/>
      <c r="D90" s="156" t="s">
        <v>147</v>
      </c>
      <c r="E90" s="71"/>
      <c r="F90" s="79">
        <f>(4.5+3.15+5.06+15.53+6.88+4.45+1.51+4.11)*0.022</f>
        <v>0.99418000000000006</v>
      </c>
      <c r="G90" s="73"/>
      <c r="H90" s="73"/>
      <c r="I90" s="81"/>
      <c r="J90" s="277"/>
      <c r="K90" s="277"/>
      <c r="L90" s="277"/>
      <c r="M90" s="277"/>
      <c r="N90" s="277"/>
      <c r="O90" s="277"/>
      <c r="P90" s="277"/>
      <c r="Q90" s="277"/>
      <c r="R90" s="277"/>
      <c r="S90" s="277"/>
      <c r="T90" s="277"/>
      <c r="U90" s="277"/>
      <c r="V90" s="277"/>
      <c r="W90" s="277"/>
      <c r="X90" s="277"/>
      <c r="Y90" s="277"/>
      <c r="Z90" s="277"/>
      <c r="AA90" s="277"/>
      <c r="AB90" s="277"/>
      <c r="AC90" s="277"/>
      <c r="AD90" s="277"/>
      <c r="AE90" s="277"/>
      <c r="AF90" s="277"/>
      <c r="AG90" s="277"/>
      <c r="AH90" s="277"/>
      <c r="AI90" s="277"/>
      <c r="AJ90" s="277"/>
      <c r="AK90" s="277"/>
      <c r="AL90" s="277"/>
      <c r="AM90" s="277"/>
      <c r="AN90" s="277"/>
      <c r="AO90" s="277"/>
      <c r="AP90" s="277"/>
      <c r="AQ90" s="277"/>
      <c r="AR90" s="277"/>
      <c r="AS90" s="277"/>
      <c r="AT90" s="277"/>
      <c r="AU90" s="277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</row>
    <row r="91" spans="1:256" s="8" customFormat="1" ht="13.5" customHeight="1">
      <c r="A91" s="69"/>
      <c r="B91" s="70"/>
      <c r="C91" s="71"/>
      <c r="D91" s="156" t="s">
        <v>148</v>
      </c>
      <c r="E91" s="71"/>
      <c r="F91" s="79">
        <f>(15.55+4+1.61+4.45+6.88+4.17+3.02+4.87)*0.022</f>
        <v>0.98010000000000008</v>
      </c>
      <c r="G91" s="73"/>
      <c r="H91" s="73"/>
      <c r="I91" s="81"/>
      <c r="J91" s="277"/>
      <c r="K91" s="277"/>
      <c r="L91" s="277"/>
      <c r="M91" s="277"/>
      <c r="N91" s="277"/>
      <c r="O91" s="277"/>
      <c r="P91" s="277"/>
      <c r="Q91" s="277"/>
      <c r="R91" s="277"/>
      <c r="S91" s="277"/>
      <c r="T91" s="277"/>
      <c r="U91" s="277"/>
      <c r="V91" s="277"/>
      <c r="W91" s="277"/>
      <c r="X91" s="277"/>
      <c r="Y91" s="277"/>
      <c r="Z91" s="277"/>
      <c r="AA91" s="277"/>
      <c r="AB91" s="277"/>
      <c r="AC91" s="277"/>
      <c r="AD91" s="277"/>
      <c r="AE91" s="277"/>
      <c r="AF91" s="277"/>
      <c r="AG91" s="277"/>
      <c r="AH91" s="277"/>
      <c r="AI91" s="277"/>
      <c r="AJ91" s="277"/>
      <c r="AK91" s="277"/>
      <c r="AL91" s="277"/>
      <c r="AM91" s="277"/>
      <c r="AN91" s="277"/>
      <c r="AO91" s="277"/>
      <c r="AP91" s="277"/>
      <c r="AQ91" s="277"/>
      <c r="AR91" s="277"/>
      <c r="AS91" s="277"/>
      <c r="AT91" s="277"/>
      <c r="AU91" s="277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</row>
    <row r="92" spans="1:256" s="8" customFormat="1" ht="13.5" customHeight="1">
      <c r="A92" s="69"/>
      <c r="B92" s="70"/>
      <c r="C92" s="71"/>
      <c r="D92" s="156" t="s">
        <v>149</v>
      </c>
      <c r="E92" s="71"/>
      <c r="F92" s="79">
        <f>(7.75+1.49+3.36+9.9+4.73+6.85+2.08+3.08+7)*0.022</f>
        <v>1.0172799999999997</v>
      </c>
      <c r="G92" s="73"/>
      <c r="H92" s="73"/>
      <c r="I92" s="81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7"/>
      <c r="AH92" s="277"/>
      <c r="AI92" s="277"/>
      <c r="AJ92" s="277"/>
      <c r="AK92" s="277"/>
      <c r="AL92" s="277"/>
      <c r="AM92" s="277"/>
      <c r="AN92" s="277"/>
      <c r="AO92" s="277"/>
      <c r="AP92" s="277"/>
      <c r="AQ92" s="277"/>
      <c r="AR92" s="277"/>
      <c r="AS92" s="277"/>
      <c r="AT92" s="277"/>
      <c r="AU92" s="277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</row>
    <row r="93" spans="1:256" s="8" customFormat="1" ht="13.5" customHeight="1">
      <c r="A93" s="69"/>
      <c r="B93" s="70"/>
      <c r="C93" s="71"/>
      <c r="D93" s="156" t="s">
        <v>150</v>
      </c>
      <c r="E93" s="71"/>
      <c r="F93" s="79">
        <f>(1.65+4.22+2.89+4.83+2.28+2.94)*0.022</f>
        <v>0.41381999999999997</v>
      </c>
      <c r="G93" s="73"/>
      <c r="H93" s="73"/>
      <c r="I93" s="81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7"/>
      <c r="W93" s="277"/>
      <c r="X93" s="277"/>
      <c r="Y93" s="277"/>
      <c r="Z93" s="277"/>
      <c r="AA93" s="277"/>
      <c r="AB93" s="277"/>
      <c r="AC93" s="277"/>
      <c r="AD93" s="277"/>
      <c r="AE93" s="277"/>
      <c r="AF93" s="277"/>
      <c r="AG93" s="277"/>
      <c r="AH93" s="277"/>
      <c r="AI93" s="277"/>
      <c r="AJ93" s="277"/>
      <c r="AK93" s="277"/>
      <c r="AL93" s="277"/>
      <c r="AM93" s="277"/>
      <c r="AN93" s="277"/>
      <c r="AO93" s="277"/>
      <c r="AP93" s="277"/>
      <c r="AQ93" s="277"/>
      <c r="AR93" s="277"/>
      <c r="AS93" s="277"/>
      <c r="AT93" s="277"/>
      <c r="AU93" s="277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</row>
    <row r="94" spans="1:256" s="8" customFormat="1" ht="13.5" customHeight="1">
      <c r="A94" s="69"/>
      <c r="B94" s="70"/>
      <c r="C94" s="71"/>
      <c r="D94" s="156" t="s">
        <v>151</v>
      </c>
      <c r="E94" s="71"/>
      <c r="F94" s="79">
        <f>(3.32)*0.022</f>
        <v>7.3039999999999994E-2</v>
      </c>
      <c r="G94" s="73"/>
      <c r="H94" s="73"/>
      <c r="I94" s="81"/>
      <c r="J94" s="277"/>
      <c r="K94" s="277"/>
      <c r="L94" s="277"/>
      <c r="M94" s="277"/>
      <c r="N94" s="277"/>
      <c r="O94" s="277"/>
      <c r="P94" s="277"/>
      <c r="Q94" s="277"/>
      <c r="R94" s="277"/>
      <c r="S94" s="277"/>
      <c r="T94" s="277"/>
      <c r="U94" s="277"/>
      <c r="V94" s="277"/>
      <c r="W94" s="277"/>
      <c r="X94" s="277"/>
      <c r="Y94" s="277"/>
      <c r="Z94" s="277"/>
      <c r="AA94" s="277"/>
      <c r="AB94" s="277"/>
      <c r="AC94" s="277"/>
      <c r="AD94" s="277"/>
      <c r="AE94" s="277"/>
      <c r="AF94" s="277"/>
      <c r="AG94" s="277"/>
      <c r="AH94" s="277"/>
      <c r="AI94" s="277"/>
      <c r="AJ94" s="277"/>
      <c r="AK94" s="277"/>
      <c r="AL94" s="277"/>
      <c r="AM94" s="277"/>
      <c r="AN94" s="277"/>
      <c r="AO94" s="277"/>
      <c r="AP94" s="277"/>
      <c r="AQ94" s="277"/>
      <c r="AR94" s="277"/>
      <c r="AS94" s="277"/>
      <c r="AT94" s="277"/>
      <c r="AU94" s="277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</row>
    <row r="95" spans="1:256" s="41" customFormat="1" ht="13.5" customHeight="1">
      <c r="A95" s="88">
        <v>18</v>
      </c>
      <c r="B95" s="89" t="s">
        <v>45</v>
      </c>
      <c r="C95" s="109">
        <v>965081223</v>
      </c>
      <c r="D95" s="110" t="s">
        <v>152</v>
      </c>
      <c r="E95" s="111" t="s">
        <v>36</v>
      </c>
      <c r="F95" s="112">
        <f>SUM(F96:F101)</f>
        <v>170.04000000000002</v>
      </c>
      <c r="G95" s="113"/>
      <c r="H95" s="94">
        <f>F95*G95</f>
        <v>0</v>
      </c>
      <c r="I95" s="74" t="s">
        <v>37</v>
      </c>
      <c r="J95" s="153"/>
    </row>
    <row r="96" spans="1:256" s="41" customFormat="1" ht="27" customHeight="1">
      <c r="A96" s="88"/>
      <c r="B96" s="89"/>
      <c r="C96" s="109"/>
      <c r="D96" s="124" t="s">
        <v>153</v>
      </c>
      <c r="E96" s="111"/>
      <c r="F96" s="227">
        <f>3.1+3.04+3.9+1.89</f>
        <v>11.930000000000001</v>
      </c>
      <c r="G96" s="113"/>
      <c r="H96" s="94"/>
      <c r="I96" s="74"/>
    </row>
    <row r="97" spans="1:74" s="41" customFormat="1" ht="27" customHeight="1">
      <c r="A97" s="88"/>
      <c r="B97" s="89"/>
      <c r="C97" s="109"/>
      <c r="D97" s="124" t="s">
        <v>154</v>
      </c>
      <c r="E97" s="111"/>
      <c r="F97" s="227">
        <f>4.5+3.15+5.06+15.53+6.88+4.45+1.51+4.11</f>
        <v>45.190000000000005</v>
      </c>
      <c r="G97" s="113"/>
      <c r="H97" s="94"/>
      <c r="I97" s="74"/>
    </row>
    <row r="98" spans="1:74" s="41" customFormat="1" ht="27" customHeight="1">
      <c r="A98" s="88"/>
      <c r="B98" s="89"/>
      <c r="C98" s="109"/>
      <c r="D98" s="124" t="s">
        <v>155</v>
      </c>
      <c r="E98" s="111"/>
      <c r="F98" s="227">
        <f>15.55+4+1.61+4.45+6.88+4.17+3.02+4.87</f>
        <v>44.550000000000004</v>
      </c>
      <c r="G98" s="113"/>
      <c r="H98" s="94"/>
      <c r="I98" s="74"/>
    </row>
    <row r="99" spans="1:74" s="41" customFormat="1" ht="27" customHeight="1">
      <c r="A99" s="88"/>
      <c r="B99" s="89"/>
      <c r="C99" s="109"/>
      <c r="D99" s="124" t="s">
        <v>156</v>
      </c>
      <c r="E99" s="111"/>
      <c r="F99" s="227">
        <f>7.75+1.49+3.36+9.9+4.73+6.85+2.08+3.08+7</f>
        <v>46.239999999999995</v>
      </c>
      <c r="G99" s="113"/>
      <c r="H99" s="94"/>
      <c r="I99" s="74"/>
    </row>
    <row r="100" spans="1:74" s="41" customFormat="1" ht="27" customHeight="1">
      <c r="A100" s="88"/>
      <c r="B100" s="89"/>
      <c r="C100" s="109"/>
      <c r="D100" s="124" t="s">
        <v>157</v>
      </c>
      <c r="E100" s="111"/>
      <c r="F100" s="227">
        <f>1.65+4.22+2.89+4.83+2.28+2.94</f>
        <v>18.809999999999999</v>
      </c>
      <c r="G100" s="113"/>
      <c r="H100" s="94"/>
      <c r="I100" s="74"/>
    </row>
    <row r="101" spans="1:74" s="41" customFormat="1" ht="13.5" customHeight="1">
      <c r="A101" s="88"/>
      <c r="B101" s="89"/>
      <c r="C101" s="109"/>
      <c r="D101" s="124" t="s">
        <v>158</v>
      </c>
      <c r="E101" s="111"/>
      <c r="F101" s="227">
        <f>3.32</f>
        <v>3.32</v>
      </c>
      <c r="G101" s="113"/>
      <c r="H101" s="94"/>
      <c r="I101" s="74"/>
    </row>
    <row r="102" spans="1:74" s="41" customFormat="1" ht="13.5" customHeight="1">
      <c r="A102" s="88">
        <v>19</v>
      </c>
      <c r="B102" s="89" t="s">
        <v>45</v>
      </c>
      <c r="C102" s="91">
        <v>967031132</v>
      </c>
      <c r="D102" s="91" t="s">
        <v>159</v>
      </c>
      <c r="E102" s="91" t="s">
        <v>36</v>
      </c>
      <c r="F102" s="92">
        <f>SUM(F103:F106)</f>
        <v>1.2030000000000003</v>
      </c>
      <c r="G102" s="94"/>
      <c r="H102" s="94">
        <f>F102*G102</f>
        <v>0</v>
      </c>
      <c r="I102" s="74" t="s">
        <v>37</v>
      </c>
      <c r="J102" s="228"/>
    </row>
    <row r="103" spans="1:74" s="41" customFormat="1" ht="27" customHeight="1">
      <c r="A103" s="88"/>
      <c r="B103" s="89"/>
      <c r="C103" s="91"/>
      <c r="D103" s="124" t="s">
        <v>160</v>
      </c>
      <c r="E103" s="91"/>
      <c r="F103" s="165">
        <f>0.1*2.02+0.1*1.05</f>
        <v>0.30700000000000005</v>
      </c>
      <c r="G103" s="94"/>
      <c r="H103" s="94"/>
      <c r="I103" s="229"/>
      <c r="J103" s="125"/>
    </row>
    <row r="104" spans="1:74" s="41" customFormat="1" ht="27" customHeight="1">
      <c r="A104" s="88"/>
      <c r="B104" s="89"/>
      <c r="C104" s="91"/>
      <c r="D104" s="124" t="s">
        <v>161</v>
      </c>
      <c r="E104" s="91"/>
      <c r="F104" s="165">
        <f>0.1*2.02+0.1*0.9</f>
        <v>0.29200000000000004</v>
      </c>
      <c r="G104" s="94"/>
      <c r="H104" s="94"/>
      <c r="I104" s="230"/>
      <c r="J104" s="125"/>
    </row>
    <row r="105" spans="1:74" s="41" customFormat="1" ht="27" customHeight="1">
      <c r="A105" s="88"/>
      <c r="B105" s="89"/>
      <c r="C105" s="91"/>
      <c r="D105" s="124" t="s">
        <v>367</v>
      </c>
      <c r="E105" s="91"/>
      <c r="F105" s="165">
        <f>0.1*2.02+0.1*1</f>
        <v>0.30200000000000005</v>
      </c>
      <c r="G105" s="94"/>
      <c r="H105" s="94"/>
      <c r="I105" s="230"/>
      <c r="J105" s="125"/>
    </row>
    <row r="106" spans="1:74" s="41" customFormat="1" ht="27" customHeight="1">
      <c r="A106" s="88"/>
      <c r="B106" s="89"/>
      <c r="C106" s="91"/>
      <c r="D106" s="124" t="s">
        <v>368</v>
      </c>
      <c r="E106" s="91"/>
      <c r="F106" s="165">
        <f>0.1*2.02+0.1*1</f>
        <v>0.30200000000000005</v>
      </c>
      <c r="G106" s="94"/>
      <c r="H106" s="94"/>
      <c r="I106" s="230"/>
      <c r="J106" s="125"/>
    </row>
    <row r="107" spans="1:74" s="8" customFormat="1" ht="13.5" customHeight="1">
      <c r="A107" s="69">
        <v>20</v>
      </c>
      <c r="B107" s="70" t="s">
        <v>45</v>
      </c>
      <c r="C107" s="71" t="s">
        <v>51</v>
      </c>
      <c r="D107" s="71" t="s">
        <v>52</v>
      </c>
      <c r="E107" s="71" t="s">
        <v>36</v>
      </c>
      <c r="F107" s="105">
        <f>SUM(F109:F109)</f>
        <v>1.6</v>
      </c>
      <c r="G107" s="115"/>
      <c r="H107" s="73">
        <f>F107*G107</f>
        <v>0</v>
      </c>
      <c r="I107" s="106" t="s">
        <v>50</v>
      </c>
      <c r="J107" s="277"/>
      <c r="K107" s="286"/>
      <c r="L107" s="277"/>
      <c r="M107" s="277"/>
      <c r="N107" s="277"/>
      <c r="O107" s="277"/>
      <c r="P107" s="277"/>
      <c r="Q107" s="277"/>
      <c r="R107" s="277"/>
      <c r="S107" s="277"/>
      <c r="T107" s="277"/>
      <c r="U107" s="277"/>
      <c r="V107" s="277"/>
      <c r="W107" s="277"/>
      <c r="X107" s="277"/>
      <c r="Y107" s="277"/>
      <c r="Z107" s="277"/>
      <c r="AA107" s="277"/>
      <c r="AB107" s="277"/>
      <c r="AC107" s="277"/>
      <c r="AD107" s="277"/>
      <c r="AE107" s="277"/>
      <c r="AF107" s="277"/>
      <c r="AG107" s="277"/>
      <c r="AH107" s="277"/>
      <c r="AI107" s="277"/>
      <c r="AJ107" s="277"/>
      <c r="AK107" s="277"/>
      <c r="AL107" s="277"/>
      <c r="AM107" s="277"/>
      <c r="AN107" s="277"/>
      <c r="AO107" s="277"/>
      <c r="AP107" s="277"/>
      <c r="AQ107" s="277"/>
      <c r="AR107" s="277"/>
      <c r="AS107" s="277"/>
      <c r="AT107" s="277"/>
      <c r="AU107" s="277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75"/>
      <c r="BM107" s="75"/>
      <c r="BN107" s="75"/>
      <c r="BO107" s="75"/>
      <c r="BP107" s="75"/>
      <c r="BQ107" s="75"/>
      <c r="BR107" s="75"/>
      <c r="BS107" s="75"/>
      <c r="BT107" s="75"/>
      <c r="BU107" s="75"/>
      <c r="BV107" s="75"/>
    </row>
    <row r="108" spans="1:74" s="8" customFormat="1" ht="13.5" customHeight="1">
      <c r="A108" s="69"/>
      <c r="B108" s="70"/>
      <c r="C108" s="71"/>
      <c r="D108" s="78" t="s">
        <v>53</v>
      </c>
      <c r="E108" s="71"/>
      <c r="F108" s="73"/>
      <c r="G108" s="73"/>
      <c r="H108" s="73"/>
      <c r="I108" s="118"/>
      <c r="J108" s="287"/>
      <c r="K108" s="288"/>
      <c r="L108" s="277"/>
      <c r="M108" s="277"/>
      <c r="N108" s="277"/>
      <c r="O108" s="277"/>
      <c r="P108" s="277"/>
      <c r="Q108" s="277"/>
      <c r="R108" s="277"/>
      <c r="S108" s="277"/>
      <c r="T108" s="277"/>
      <c r="U108" s="277"/>
      <c r="V108" s="277"/>
      <c r="W108" s="277"/>
      <c r="X108" s="277"/>
      <c r="Y108" s="277"/>
      <c r="Z108" s="277"/>
      <c r="AA108" s="277"/>
      <c r="AB108" s="277"/>
      <c r="AC108" s="277"/>
      <c r="AD108" s="277"/>
      <c r="AE108" s="277"/>
      <c r="AF108" s="277"/>
      <c r="AG108" s="277"/>
      <c r="AH108" s="277"/>
      <c r="AI108" s="277"/>
      <c r="AJ108" s="277"/>
      <c r="AK108" s="277"/>
      <c r="AL108" s="277"/>
      <c r="AM108" s="277"/>
      <c r="AN108" s="277"/>
      <c r="AO108" s="277"/>
      <c r="AP108" s="277"/>
      <c r="AQ108" s="277"/>
      <c r="AR108" s="277"/>
      <c r="AS108" s="277"/>
      <c r="AT108" s="277"/>
      <c r="AU108" s="277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</row>
    <row r="109" spans="1:74" s="8" customFormat="1" ht="13.5" customHeight="1">
      <c r="A109" s="69"/>
      <c r="B109" s="70"/>
      <c r="C109" s="71"/>
      <c r="D109" s="107" t="s">
        <v>162</v>
      </c>
      <c r="E109" s="119"/>
      <c r="F109" s="79">
        <f>(1*1.6)*1</f>
        <v>1.6</v>
      </c>
      <c r="G109" s="73"/>
      <c r="H109" s="73"/>
      <c r="I109" s="118"/>
      <c r="J109" s="281"/>
      <c r="K109" s="277"/>
      <c r="L109" s="277"/>
      <c r="M109" s="277"/>
      <c r="N109" s="277"/>
      <c r="O109" s="277"/>
      <c r="P109" s="277"/>
      <c r="Q109" s="277"/>
      <c r="R109" s="277"/>
      <c r="S109" s="277"/>
      <c r="T109" s="277"/>
      <c r="U109" s="277"/>
      <c r="V109" s="277"/>
      <c r="W109" s="277"/>
      <c r="X109" s="277"/>
      <c r="Y109" s="277"/>
      <c r="Z109" s="277"/>
      <c r="AA109" s="277"/>
      <c r="AB109" s="277"/>
      <c r="AC109" s="277"/>
      <c r="AD109" s="277"/>
      <c r="AE109" s="277"/>
      <c r="AF109" s="277"/>
      <c r="AG109" s="277"/>
      <c r="AH109" s="277"/>
      <c r="AI109" s="277"/>
      <c r="AJ109" s="277"/>
      <c r="AK109" s="277"/>
      <c r="AL109" s="277"/>
      <c r="AM109" s="277"/>
      <c r="AN109" s="277"/>
      <c r="AO109" s="277"/>
      <c r="AP109" s="277"/>
      <c r="AQ109" s="277"/>
      <c r="AR109" s="277"/>
      <c r="AS109" s="277"/>
      <c r="AT109" s="277"/>
      <c r="AU109" s="277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</row>
    <row r="110" spans="1:74" s="8" customFormat="1" ht="40.5" customHeight="1">
      <c r="A110" s="69"/>
      <c r="B110" s="70"/>
      <c r="C110" s="71"/>
      <c r="D110" s="78" t="s">
        <v>54</v>
      </c>
      <c r="E110" s="119"/>
      <c r="F110" s="79"/>
      <c r="G110" s="73"/>
      <c r="H110" s="73"/>
      <c r="I110" s="118"/>
      <c r="J110" s="281"/>
      <c r="K110" s="277"/>
      <c r="L110" s="289"/>
      <c r="M110" s="289"/>
      <c r="N110" s="289"/>
      <c r="O110" s="277"/>
      <c r="P110" s="277"/>
      <c r="Q110" s="277"/>
      <c r="R110" s="277"/>
      <c r="S110" s="277"/>
      <c r="T110" s="277"/>
      <c r="U110" s="277"/>
      <c r="V110" s="277"/>
      <c r="W110" s="277"/>
      <c r="X110" s="277"/>
      <c r="Y110" s="277"/>
      <c r="Z110" s="277"/>
      <c r="AA110" s="277"/>
      <c r="AB110" s="277"/>
      <c r="AC110" s="277"/>
      <c r="AD110" s="277"/>
      <c r="AE110" s="277"/>
      <c r="AF110" s="277"/>
      <c r="AG110" s="277"/>
      <c r="AH110" s="277"/>
      <c r="AI110" s="277"/>
      <c r="AJ110" s="277"/>
      <c r="AK110" s="277"/>
      <c r="AL110" s="277"/>
      <c r="AM110" s="277"/>
      <c r="AN110" s="277"/>
      <c r="AO110" s="277"/>
      <c r="AP110" s="277"/>
      <c r="AQ110" s="277"/>
      <c r="AR110" s="277"/>
      <c r="AS110" s="277"/>
      <c r="AT110" s="277"/>
      <c r="AU110" s="277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</row>
    <row r="111" spans="1:74" s="8" customFormat="1" ht="67.5" customHeight="1">
      <c r="A111" s="69"/>
      <c r="B111" s="70"/>
      <c r="C111" s="71"/>
      <c r="D111" s="320" t="s">
        <v>313</v>
      </c>
      <c r="E111" s="78"/>
      <c r="F111" s="79"/>
      <c r="G111" s="73"/>
      <c r="H111" s="73"/>
      <c r="I111" s="118"/>
      <c r="J111" s="277"/>
      <c r="K111" s="277"/>
      <c r="L111" s="289"/>
      <c r="M111" s="289"/>
      <c r="N111" s="289"/>
      <c r="O111" s="277"/>
      <c r="P111" s="277"/>
      <c r="Q111" s="277"/>
      <c r="R111" s="277"/>
      <c r="S111" s="277"/>
      <c r="T111" s="277"/>
      <c r="U111" s="277"/>
      <c r="V111" s="277"/>
      <c r="W111" s="277"/>
      <c r="X111" s="277"/>
      <c r="Y111" s="277"/>
      <c r="Z111" s="277"/>
      <c r="AA111" s="277"/>
      <c r="AB111" s="277"/>
      <c r="AC111" s="277"/>
      <c r="AD111" s="277"/>
      <c r="AE111" s="277"/>
      <c r="AF111" s="277"/>
      <c r="AG111" s="277"/>
      <c r="AH111" s="277"/>
      <c r="AI111" s="277"/>
      <c r="AJ111" s="277"/>
      <c r="AK111" s="277"/>
      <c r="AL111" s="277"/>
      <c r="AM111" s="277"/>
      <c r="AN111" s="277"/>
      <c r="AO111" s="277"/>
      <c r="AP111" s="277"/>
      <c r="AQ111" s="277"/>
      <c r="AR111" s="277"/>
      <c r="AS111" s="277"/>
      <c r="AT111" s="277"/>
      <c r="AU111" s="277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</row>
    <row r="112" spans="1:74" s="8" customFormat="1" ht="27" customHeight="1">
      <c r="A112" s="69">
        <v>21</v>
      </c>
      <c r="B112" s="120" t="s">
        <v>45</v>
      </c>
      <c r="C112" s="71" t="s">
        <v>55</v>
      </c>
      <c r="D112" s="71" t="s">
        <v>163</v>
      </c>
      <c r="E112" s="71" t="s">
        <v>36</v>
      </c>
      <c r="F112" s="105">
        <f>SUM(F114:F120)</f>
        <v>47.673999999999999</v>
      </c>
      <c r="G112" s="73"/>
      <c r="H112" s="73">
        <f>F112*G112</f>
        <v>0</v>
      </c>
      <c r="I112" s="106" t="s">
        <v>50</v>
      </c>
      <c r="J112" s="277"/>
      <c r="K112" s="277"/>
      <c r="L112" s="277"/>
      <c r="M112" s="277"/>
      <c r="N112" s="277"/>
      <c r="O112" s="277"/>
      <c r="P112" s="277"/>
      <c r="Q112" s="277"/>
      <c r="R112" s="277"/>
      <c r="S112" s="277"/>
      <c r="T112" s="277"/>
      <c r="U112" s="277"/>
      <c r="V112" s="277"/>
      <c r="W112" s="277"/>
      <c r="X112" s="277"/>
      <c r="Y112" s="277"/>
      <c r="Z112" s="277"/>
      <c r="AA112" s="277"/>
      <c r="AB112" s="277"/>
      <c r="AC112" s="277"/>
      <c r="AD112" s="277"/>
      <c r="AE112" s="277"/>
      <c r="AF112" s="277"/>
      <c r="AG112" s="277"/>
      <c r="AH112" s="277"/>
      <c r="AI112" s="277"/>
      <c r="AJ112" s="277"/>
      <c r="AK112" s="277"/>
      <c r="AL112" s="277"/>
      <c r="AM112" s="277"/>
      <c r="AN112" s="277"/>
      <c r="AO112" s="277"/>
      <c r="AP112" s="277"/>
      <c r="AQ112" s="277"/>
      <c r="AR112" s="277"/>
      <c r="AS112" s="277"/>
      <c r="AT112" s="277"/>
      <c r="AU112" s="277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</row>
    <row r="113" spans="1:74" s="8" customFormat="1" ht="13.5" customHeight="1">
      <c r="A113" s="69"/>
      <c r="B113" s="70"/>
      <c r="C113" s="71"/>
      <c r="D113" s="78" t="s">
        <v>56</v>
      </c>
      <c r="E113" s="71"/>
      <c r="F113" s="118"/>
      <c r="G113" s="73"/>
      <c r="H113" s="73"/>
      <c r="I113" s="118"/>
      <c r="J113" s="75"/>
      <c r="K113" s="286"/>
      <c r="L113" s="277"/>
      <c r="M113" s="277"/>
      <c r="N113" s="277"/>
      <c r="O113" s="277"/>
      <c r="P113" s="277"/>
      <c r="Q113" s="277"/>
      <c r="R113" s="277"/>
      <c r="S113" s="277"/>
      <c r="T113" s="277"/>
      <c r="U113" s="277"/>
      <c r="V113" s="277"/>
      <c r="W113" s="277"/>
      <c r="X113" s="277"/>
      <c r="Y113" s="277"/>
      <c r="Z113" s="277"/>
      <c r="AA113" s="277"/>
      <c r="AB113" s="277"/>
      <c r="AC113" s="277"/>
      <c r="AD113" s="277"/>
      <c r="AE113" s="277"/>
      <c r="AF113" s="277"/>
      <c r="AG113" s="277"/>
      <c r="AH113" s="277"/>
      <c r="AI113" s="277"/>
      <c r="AJ113" s="277"/>
      <c r="AK113" s="277"/>
      <c r="AL113" s="277"/>
      <c r="AM113" s="277"/>
      <c r="AN113" s="277"/>
      <c r="AO113" s="277"/>
      <c r="AP113" s="277"/>
      <c r="AQ113" s="277"/>
      <c r="AR113" s="277"/>
      <c r="AS113" s="277"/>
      <c r="AT113" s="277"/>
      <c r="AU113" s="277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</row>
    <row r="114" spans="1:74" s="8" customFormat="1" ht="13.5" customHeight="1">
      <c r="A114" s="69"/>
      <c r="B114" s="70"/>
      <c r="C114" s="71"/>
      <c r="D114" s="107" t="s">
        <v>164</v>
      </c>
      <c r="E114" s="119"/>
      <c r="F114" s="79">
        <f>(0.7*2.02)*1</f>
        <v>1.4139999999999999</v>
      </c>
      <c r="G114" s="73"/>
      <c r="H114" s="73"/>
      <c r="I114" s="118"/>
      <c r="J114" s="287"/>
      <c r="K114" s="288"/>
      <c r="L114" s="277"/>
      <c r="M114" s="277"/>
      <c r="N114" s="277"/>
      <c r="O114" s="277"/>
      <c r="P114" s="277"/>
      <c r="Q114" s="277"/>
      <c r="R114" s="277"/>
      <c r="S114" s="277"/>
      <c r="T114" s="277"/>
      <c r="U114" s="277"/>
      <c r="V114" s="277"/>
      <c r="W114" s="277"/>
      <c r="X114" s="277"/>
      <c r="Y114" s="277"/>
      <c r="Z114" s="277"/>
      <c r="AA114" s="277"/>
      <c r="AB114" s="277"/>
      <c r="AC114" s="277"/>
      <c r="AD114" s="277"/>
      <c r="AE114" s="277"/>
      <c r="AF114" s="277"/>
      <c r="AG114" s="277"/>
      <c r="AH114" s="277"/>
      <c r="AI114" s="277"/>
      <c r="AJ114" s="277"/>
      <c r="AK114" s="277"/>
      <c r="AL114" s="277"/>
      <c r="AM114" s="277"/>
      <c r="AN114" s="277"/>
      <c r="AO114" s="277"/>
      <c r="AP114" s="277"/>
      <c r="AQ114" s="277"/>
      <c r="AR114" s="277"/>
      <c r="AS114" s="277"/>
      <c r="AT114" s="277"/>
      <c r="AU114" s="277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</row>
    <row r="115" spans="1:74" s="8" customFormat="1" ht="13.5" customHeight="1">
      <c r="A115" s="69"/>
      <c r="B115" s="70"/>
      <c r="C115" s="71"/>
      <c r="D115" s="107" t="s">
        <v>165</v>
      </c>
      <c r="E115" s="119"/>
      <c r="F115" s="79">
        <f>(0.91*2)*1</f>
        <v>1.82</v>
      </c>
      <c r="G115" s="73"/>
      <c r="H115" s="73"/>
      <c r="I115" s="118"/>
      <c r="J115" s="287"/>
      <c r="K115" s="288"/>
      <c r="L115" s="277"/>
      <c r="M115" s="277"/>
      <c r="N115" s="277"/>
      <c r="O115" s="277"/>
      <c r="P115" s="277"/>
      <c r="Q115" s="277"/>
      <c r="R115" s="277"/>
      <c r="S115" s="277"/>
      <c r="T115" s="277"/>
      <c r="U115" s="277"/>
      <c r="V115" s="277"/>
      <c r="W115" s="277"/>
      <c r="X115" s="277"/>
      <c r="Y115" s="277"/>
      <c r="Z115" s="277"/>
      <c r="AA115" s="277"/>
      <c r="AB115" s="277"/>
      <c r="AC115" s="277"/>
      <c r="AD115" s="277"/>
      <c r="AE115" s="277"/>
      <c r="AF115" s="277"/>
      <c r="AG115" s="277"/>
      <c r="AH115" s="277"/>
      <c r="AI115" s="277"/>
      <c r="AJ115" s="277"/>
      <c r="AK115" s="277"/>
      <c r="AL115" s="277"/>
      <c r="AM115" s="277"/>
      <c r="AN115" s="277"/>
      <c r="AO115" s="277"/>
      <c r="AP115" s="277"/>
      <c r="AQ115" s="277"/>
      <c r="AR115" s="277"/>
      <c r="AS115" s="277"/>
      <c r="AT115" s="277"/>
      <c r="AU115" s="277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</row>
    <row r="116" spans="1:74" s="8" customFormat="1" ht="13.5" customHeight="1">
      <c r="A116" s="69"/>
      <c r="B116" s="70"/>
      <c r="C116" s="71"/>
      <c r="D116" s="107" t="s">
        <v>166</v>
      </c>
      <c r="E116" s="119"/>
      <c r="F116" s="79">
        <f>(0.7*2.02)*2+(0.8*2.02)*1+(0.9*2.02)*2+(1*2.02)*1</f>
        <v>10.1</v>
      </c>
      <c r="G116" s="73"/>
      <c r="H116" s="73"/>
      <c r="I116" s="118"/>
      <c r="J116" s="281"/>
      <c r="K116" s="277"/>
      <c r="L116" s="277"/>
      <c r="M116" s="277"/>
      <c r="N116" s="277"/>
      <c r="O116" s="277"/>
      <c r="P116" s="277"/>
      <c r="Q116" s="277"/>
      <c r="R116" s="277"/>
      <c r="S116" s="277"/>
      <c r="T116" s="277"/>
      <c r="U116" s="277"/>
      <c r="V116" s="277"/>
      <c r="W116" s="277"/>
      <c r="X116" s="277"/>
      <c r="Y116" s="277"/>
      <c r="Z116" s="277"/>
      <c r="AA116" s="277"/>
      <c r="AB116" s="277"/>
      <c r="AC116" s="277"/>
      <c r="AD116" s="277"/>
      <c r="AE116" s="277"/>
      <c r="AF116" s="277"/>
      <c r="AG116" s="277"/>
      <c r="AH116" s="277"/>
      <c r="AI116" s="277"/>
      <c r="AJ116" s="277"/>
      <c r="AK116" s="277"/>
      <c r="AL116" s="277"/>
      <c r="AM116" s="277"/>
      <c r="AN116" s="277"/>
      <c r="AO116" s="277"/>
      <c r="AP116" s="277"/>
      <c r="AQ116" s="277"/>
      <c r="AR116" s="277"/>
      <c r="AS116" s="277"/>
      <c r="AT116" s="277"/>
      <c r="AU116" s="277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</row>
    <row r="117" spans="1:74" s="8" customFormat="1" ht="13.5" customHeight="1">
      <c r="A117" s="69"/>
      <c r="B117" s="70"/>
      <c r="C117" s="71"/>
      <c r="D117" s="107" t="s">
        <v>167</v>
      </c>
      <c r="E117" s="119"/>
      <c r="F117" s="79">
        <f>(0.7*2.02)*2+(0.8*2.02)*1+(0.9*2.02)*2+(1*2.02)*1</f>
        <v>10.1</v>
      </c>
      <c r="G117" s="73"/>
      <c r="H117" s="73"/>
      <c r="I117" s="118"/>
      <c r="J117" s="281"/>
      <c r="K117" s="277"/>
      <c r="L117" s="277"/>
      <c r="M117" s="277"/>
      <c r="N117" s="277"/>
      <c r="O117" s="277"/>
      <c r="P117" s="277"/>
      <c r="Q117" s="277"/>
      <c r="R117" s="277"/>
      <c r="S117" s="277"/>
      <c r="T117" s="277"/>
      <c r="U117" s="277"/>
      <c r="V117" s="277"/>
      <c r="W117" s="277"/>
      <c r="X117" s="277"/>
      <c r="Y117" s="277"/>
      <c r="Z117" s="277"/>
      <c r="AA117" s="277"/>
      <c r="AB117" s="277"/>
      <c r="AC117" s="277"/>
      <c r="AD117" s="277"/>
      <c r="AE117" s="277"/>
      <c r="AF117" s="277"/>
      <c r="AG117" s="277"/>
      <c r="AH117" s="277"/>
      <c r="AI117" s="277"/>
      <c r="AJ117" s="277"/>
      <c r="AK117" s="277"/>
      <c r="AL117" s="277"/>
      <c r="AM117" s="277"/>
      <c r="AN117" s="277"/>
      <c r="AO117" s="277"/>
      <c r="AP117" s="277"/>
      <c r="AQ117" s="277"/>
      <c r="AR117" s="277"/>
      <c r="AS117" s="277"/>
      <c r="AT117" s="277"/>
      <c r="AU117" s="277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5"/>
      <c r="BP117" s="75"/>
      <c r="BQ117" s="75"/>
      <c r="BR117" s="75"/>
      <c r="BS117" s="75"/>
      <c r="BT117" s="75"/>
      <c r="BU117" s="75"/>
      <c r="BV117" s="75"/>
    </row>
    <row r="118" spans="1:74" s="8" customFormat="1" ht="13.5" customHeight="1">
      <c r="A118" s="69"/>
      <c r="B118" s="70"/>
      <c r="C118" s="71"/>
      <c r="D118" s="107" t="s">
        <v>168</v>
      </c>
      <c r="E118" s="119"/>
      <c r="F118" s="79">
        <f>(0.7*2.02)*3+(0.9*2.02)*3+(1*2.02)*2</f>
        <v>13.736000000000001</v>
      </c>
      <c r="G118" s="73"/>
      <c r="H118" s="73"/>
      <c r="I118" s="118"/>
      <c r="J118" s="281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77"/>
      <c r="X118" s="277"/>
      <c r="Y118" s="277"/>
      <c r="Z118" s="277"/>
      <c r="AA118" s="277"/>
      <c r="AB118" s="277"/>
      <c r="AC118" s="277"/>
      <c r="AD118" s="277"/>
      <c r="AE118" s="277"/>
      <c r="AF118" s="277"/>
      <c r="AG118" s="277"/>
      <c r="AH118" s="277"/>
      <c r="AI118" s="277"/>
      <c r="AJ118" s="277"/>
      <c r="AK118" s="277"/>
      <c r="AL118" s="277"/>
      <c r="AM118" s="277"/>
      <c r="AN118" s="277"/>
      <c r="AO118" s="277"/>
      <c r="AP118" s="277"/>
      <c r="AQ118" s="277"/>
      <c r="AR118" s="277"/>
      <c r="AS118" s="277"/>
      <c r="AT118" s="277"/>
      <c r="AU118" s="277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</row>
    <row r="119" spans="1:74" s="8" customFormat="1" ht="13.5" customHeight="1">
      <c r="A119" s="69"/>
      <c r="B119" s="70"/>
      <c r="C119" s="71"/>
      <c r="D119" s="107" t="s">
        <v>169</v>
      </c>
      <c r="E119" s="119"/>
      <c r="F119" s="79">
        <f>(0.9*2.02)*4</f>
        <v>7.2720000000000002</v>
      </c>
      <c r="G119" s="73"/>
      <c r="H119" s="73"/>
      <c r="I119" s="118"/>
      <c r="J119" s="281"/>
      <c r="K119" s="277"/>
      <c r="L119" s="277"/>
      <c r="M119" s="277"/>
      <c r="N119" s="277"/>
      <c r="O119" s="277"/>
      <c r="P119" s="277"/>
      <c r="Q119" s="277"/>
      <c r="R119" s="277"/>
      <c r="S119" s="277"/>
      <c r="T119" s="277"/>
      <c r="U119" s="277"/>
      <c r="V119" s="277"/>
      <c r="W119" s="277"/>
      <c r="X119" s="277"/>
      <c r="Y119" s="277"/>
      <c r="Z119" s="277"/>
      <c r="AA119" s="277"/>
      <c r="AB119" s="277"/>
      <c r="AC119" s="277"/>
      <c r="AD119" s="277"/>
      <c r="AE119" s="277"/>
      <c r="AF119" s="277"/>
      <c r="AG119" s="277"/>
      <c r="AH119" s="277"/>
      <c r="AI119" s="277"/>
      <c r="AJ119" s="277"/>
      <c r="AK119" s="277"/>
      <c r="AL119" s="277"/>
      <c r="AM119" s="277"/>
      <c r="AN119" s="277"/>
      <c r="AO119" s="277"/>
      <c r="AP119" s="277"/>
      <c r="AQ119" s="277"/>
      <c r="AR119" s="277"/>
      <c r="AS119" s="277"/>
      <c r="AT119" s="277"/>
      <c r="AU119" s="277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</row>
    <row r="120" spans="1:74" s="8" customFormat="1" ht="13.5" customHeight="1">
      <c r="A120" s="69"/>
      <c r="B120" s="70"/>
      <c r="C120" s="71"/>
      <c r="D120" s="107" t="s">
        <v>170</v>
      </c>
      <c r="E120" s="119"/>
      <c r="F120" s="79">
        <f>(0.7*2.02)*1+(0.9*2.02)*1</f>
        <v>3.2320000000000002</v>
      </c>
      <c r="G120" s="73"/>
      <c r="H120" s="73"/>
      <c r="I120" s="118"/>
      <c r="J120" s="281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277"/>
      <c r="AC120" s="277"/>
      <c r="AD120" s="277"/>
      <c r="AE120" s="277"/>
      <c r="AF120" s="277"/>
      <c r="AG120" s="277"/>
      <c r="AH120" s="277"/>
      <c r="AI120" s="277"/>
      <c r="AJ120" s="277"/>
      <c r="AK120" s="277"/>
      <c r="AL120" s="277"/>
      <c r="AM120" s="277"/>
      <c r="AN120" s="277"/>
      <c r="AO120" s="277"/>
      <c r="AP120" s="277"/>
      <c r="AQ120" s="277"/>
      <c r="AR120" s="277"/>
      <c r="AS120" s="277"/>
      <c r="AT120" s="277"/>
      <c r="AU120" s="277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</row>
    <row r="121" spans="1:74" s="8" customFormat="1" ht="13.5" customHeight="1">
      <c r="A121" s="69"/>
      <c r="B121" s="70"/>
      <c r="C121" s="71"/>
      <c r="D121" s="107" t="s">
        <v>356</v>
      </c>
      <c r="E121" s="119"/>
      <c r="F121" s="79"/>
      <c r="G121" s="73"/>
      <c r="H121" s="73"/>
      <c r="I121" s="118"/>
      <c r="J121" s="287"/>
      <c r="K121" s="288"/>
      <c r="L121" s="277"/>
      <c r="M121" s="277"/>
      <c r="N121" s="277"/>
      <c r="O121" s="277"/>
      <c r="P121" s="356"/>
      <c r="Q121" s="277"/>
      <c r="R121" s="277"/>
      <c r="S121" s="277"/>
      <c r="T121" s="277"/>
      <c r="U121" s="277"/>
      <c r="V121" s="277"/>
      <c r="W121" s="277"/>
      <c r="X121" s="277"/>
      <c r="Y121" s="277"/>
      <c r="Z121" s="277"/>
      <c r="AA121" s="277"/>
      <c r="AB121" s="277"/>
      <c r="AC121" s="277"/>
      <c r="AD121" s="277"/>
      <c r="AE121" s="277"/>
      <c r="AF121" s="277"/>
      <c r="AG121" s="277"/>
      <c r="AH121" s="277"/>
      <c r="AI121" s="277"/>
      <c r="AJ121" s="277"/>
      <c r="AK121" s="277"/>
      <c r="AL121" s="277"/>
      <c r="AM121" s="277"/>
      <c r="AN121" s="277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</row>
    <row r="122" spans="1:74" s="8" customFormat="1" ht="54" customHeight="1">
      <c r="A122" s="69"/>
      <c r="B122" s="70"/>
      <c r="C122" s="71"/>
      <c r="D122" s="78" t="s">
        <v>57</v>
      </c>
      <c r="E122" s="71"/>
      <c r="F122" s="79"/>
      <c r="G122" s="73"/>
      <c r="H122" s="73"/>
      <c r="I122" s="118"/>
      <c r="J122" s="281"/>
      <c r="K122" s="277"/>
      <c r="L122" s="277"/>
      <c r="M122" s="277"/>
      <c r="N122" s="277"/>
      <c r="O122" s="277"/>
      <c r="P122" s="277"/>
      <c r="Q122" s="277"/>
      <c r="R122" s="277"/>
      <c r="S122" s="277"/>
      <c r="T122" s="277"/>
      <c r="U122" s="277"/>
      <c r="V122" s="277"/>
      <c r="W122" s="277"/>
      <c r="X122" s="277"/>
      <c r="Y122" s="277"/>
      <c r="Z122" s="277"/>
      <c r="AA122" s="277"/>
      <c r="AB122" s="277"/>
      <c r="AC122" s="277"/>
      <c r="AD122" s="277"/>
      <c r="AE122" s="277"/>
      <c r="AF122" s="277"/>
      <c r="AG122" s="277"/>
      <c r="AH122" s="277"/>
      <c r="AI122" s="277"/>
      <c r="AJ122" s="277"/>
      <c r="AK122" s="277"/>
      <c r="AL122" s="277"/>
      <c r="AM122" s="277"/>
      <c r="AN122" s="277"/>
      <c r="AO122" s="277"/>
      <c r="AP122" s="277"/>
      <c r="AQ122" s="277"/>
      <c r="AR122" s="277"/>
      <c r="AS122" s="277"/>
      <c r="AT122" s="277"/>
      <c r="AU122" s="277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</row>
    <row r="123" spans="1:74" s="8" customFormat="1" ht="27" customHeight="1">
      <c r="A123" s="69"/>
      <c r="B123" s="70"/>
      <c r="C123" s="71"/>
      <c r="D123" s="78" t="s">
        <v>58</v>
      </c>
      <c r="E123" s="71"/>
      <c r="F123" s="79"/>
      <c r="G123" s="73"/>
      <c r="H123" s="73"/>
      <c r="I123" s="118"/>
      <c r="J123" s="278"/>
      <c r="K123" s="277"/>
      <c r="L123" s="277"/>
      <c r="M123" s="277"/>
      <c r="N123" s="277"/>
      <c r="O123" s="277"/>
      <c r="P123" s="277"/>
      <c r="Q123" s="277"/>
      <c r="R123" s="277"/>
      <c r="S123" s="277"/>
      <c r="T123" s="277"/>
      <c r="U123" s="277"/>
      <c r="V123" s="277"/>
      <c r="W123" s="277"/>
      <c r="X123" s="277"/>
      <c r="Y123" s="277"/>
      <c r="Z123" s="277"/>
      <c r="AA123" s="277"/>
      <c r="AB123" s="277"/>
      <c r="AC123" s="277"/>
      <c r="AD123" s="277"/>
      <c r="AE123" s="277"/>
      <c r="AF123" s="277"/>
      <c r="AG123" s="277"/>
      <c r="AH123" s="277"/>
      <c r="AI123" s="277"/>
      <c r="AJ123" s="277"/>
      <c r="AK123" s="277"/>
      <c r="AL123" s="277"/>
      <c r="AM123" s="277"/>
      <c r="AN123" s="277"/>
      <c r="AO123" s="277"/>
      <c r="AP123" s="277"/>
      <c r="AQ123" s="277"/>
      <c r="AR123" s="277"/>
      <c r="AS123" s="277"/>
      <c r="AT123" s="277"/>
      <c r="AU123" s="277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</row>
    <row r="124" spans="1:74" s="8" customFormat="1" ht="67.5" customHeight="1">
      <c r="A124" s="121"/>
      <c r="B124" s="122"/>
      <c r="C124" s="123"/>
      <c r="D124" s="320" t="s">
        <v>313</v>
      </c>
      <c r="E124" s="78"/>
      <c r="F124" s="79"/>
      <c r="G124" s="73"/>
      <c r="H124" s="73"/>
      <c r="I124" s="118"/>
      <c r="J124" s="277"/>
      <c r="K124" s="277"/>
      <c r="L124" s="277"/>
      <c r="M124" s="277"/>
      <c r="N124" s="277"/>
      <c r="O124" s="277"/>
      <c r="P124" s="277"/>
      <c r="Q124" s="277"/>
      <c r="R124" s="277"/>
      <c r="S124" s="277"/>
      <c r="T124" s="277"/>
      <c r="U124" s="277"/>
      <c r="V124" s="277"/>
      <c r="W124" s="277"/>
      <c r="X124" s="277"/>
      <c r="Y124" s="277"/>
      <c r="Z124" s="277"/>
      <c r="AA124" s="277"/>
      <c r="AB124" s="277"/>
      <c r="AC124" s="277"/>
      <c r="AD124" s="277"/>
      <c r="AE124" s="277"/>
      <c r="AF124" s="277"/>
      <c r="AG124" s="277"/>
      <c r="AH124" s="277"/>
      <c r="AI124" s="277"/>
      <c r="AJ124" s="277"/>
      <c r="AK124" s="277"/>
      <c r="AL124" s="277"/>
      <c r="AM124" s="277"/>
      <c r="AN124" s="277"/>
      <c r="AO124" s="277"/>
      <c r="AP124" s="277"/>
      <c r="AQ124" s="277"/>
      <c r="AR124" s="277"/>
      <c r="AS124" s="277"/>
      <c r="AT124" s="277"/>
      <c r="AU124" s="277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</row>
    <row r="125" spans="1:74" s="8" customFormat="1" ht="13.5" customHeight="1">
      <c r="A125" s="69">
        <v>22</v>
      </c>
      <c r="B125" s="120" t="s">
        <v>45</v>
      </c>
      <c r="C125" s="71" t="s">
        <v>59</v>
      </c>
      <c r="D125" s="71" t="s">
        <v>171</v>
      </c>
      <c r="E125" s="71" t="s">
        <v>36</v>
      </c>
      <c r="F125" s="105">
        <f>SUM(F127:F127)</f>
        <v>2.2220000000000004</v>
      </c>
      <c r="G125" s="73"/>
      <c r="H125" s="73">
        <f>F125*G125</f>
        <v>0</v>
      </c>
      <c r="I125" s="106" t="s">
        <v>50</v>
      </c>
      <c r="J125" s="357"/>
      <c r="K125" s="277"/>
      <c r="L125" s="277"/>
      <c r="M125" s="277"/>
      <c r="N125" s="277"/>
      <c r="O125" s="277"/>
      <c r="P125" s="277"/>
      <c r="Q125" s="277"/>
      <c r="R125" s="277"/>
      <c r="S125" s="277"/>
      <c r="T125" s="277"/>
      <c r="U125" s="277"/>
      <c r="V125" s="277"/>
      <c r="W125" s="277"/>
      <c r="X125" s="277"/>
      <c r="Y125" s="277"/>
      <c r="Z125" s="277"/>
      <c r="AA125" s="277"/>
      <c r="AB125" s="277"/>
      <c r="AC125" s="277"/>
      <c r="AD125" s="277"/>
      <c r="AE125" s="277"/>
      <c r="AF125" s="277"/>
      <c r="AG125" s="277"/>
      <c r="AH125" s="277"/>
      <c r="AI125" s="277"/>
      <c r="AJ125" s="277"/>
      <c r="AK125" s="277"/>
      <c r="AL125" s="277"/>
      <c r="AM125" s="277"/>
      <c r="AN125" s="277"/>
      <c r="AO125" s="277"/>
      <c r="AP125" s="277"/>
      <c r="AQ125" s="277"/>
      <c r="AR125" s="277"/>
      <c r="AS125" s="277"/>
      <c r="AT125" s="277"/>
      <c r="AU125" s="277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</row>
    <row r="126" spans="1:74" s="8" customFormat="1" ht="13.5" customHeight="1">
      <c r="A126" s="69"/>
      <c r="B126" s="70"/>
      <c r="C126" s="71"/>
      <c r="D126" s="78" t="s">
        <v>56</v>
      </c>
      <c r="E126" s="71"/>
      <c r="F126" s="118"/>
      <c r="G126" s="73"/>
      <c r="H126" s="73"/>
      <c r="I126" s="118"/>
      <c r="J126" s="75"/>
      <c r="K126" s="286"/>
      <c r="L126" s="277"/>
      <c r="M126" s="277"/>
      <c r="N126" s="277"/>
      <c r="O126" s="277"/>
      <c r="P126" s="277"/>
      <c r="Q126" s="277"/>
      <c r="R126" s="277"/>
      <c r="S126" s="277"/>
      <c r="T126" s="277"/>
      <c r="U126" s="277"/>
      <c r="V126" s="277"/>
      <c r="W126" s="277"/>
      <c r="X126" s="277"/>
      <c r="Y126" s="277"/>
      <c r="Z126" s="277"/>
      <c r="AA126" s="277"/>
      <c r="AB126" s="277"/>
      <c r="AC126" s="277"/>
      <c r="AD126" s="277"/>
      <c r="AE126" s="277"/>
      <c r="AF126" s="277"/>
      <c r="AG126" s="277"/>
      <c r="AH126" s="277"/>
      <c r="AI126" s="277"/>
      <c r="AJ126" s="277"/>
      <c r="AK126" s="277"/>
      <c r="AL126" s="277"/>
      <c r="AM126" s="277"/>
      <c r="AN126" s="277"/>
      <c r="AO126" s="277"/>
      <c r="AP126" s="277"/>
      <c r="AQ126" s="277"/>
      <c r="AR126" s="277"/>
      <c r="AS126" s="277"/>
      <c r="AT126" s="277"/>
      <c r="AU126" s="277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</row>
    <row r="127" spans="1:74" s="8" customFormat="1" ht="13.5" customHeight="1">
      <c r="A127" s="69"/>
      <c r="B127" s="70"/>
      <c r="C127" s="71"/>
      <c r="D127" s="107" t="s">
        <v>172</v>
      </c>
      <c r="E127" s="119"/>
      <c r="F127" s="79">
        <f>(1.1*2.02)*1</f>
        <v>2.2220000000000004</v>
      </c>
      <c r="G127" s="73"/>
      <c r="H127" s="73"/>
      <c r="I127" s="118"/>
      <c r="J127" s="287"/>
      <c r="K127" s="288"/>
      <c r="L127" s="277"/>
      <c r="M127" s="277"/>
      <c r="N127" s="277"/>
      <c r="O127" s="277"/>
      <c r="P127" s="277"/>
      <c r="Q127" s="277"/>
      <c r="R127" s="277"/>
      <c r="S127" s="277"/>
      <c r="T127" s="277"/>
      <c r="U127" s="277"/>
      <c r="V127" s="277"/>
      <c r="W127" s="277"/>
      <c r="X127" s="277"/>
      <c r="Y127" s="277"/>
      <c r="Z127" s="277"/>
      <c r="AA127" s="277"/>
      <c r="AB127" s="277"/>
      <c r="AC127" s="277"/>
      <c r="AD127" s="277"/>
      <c r="AE127" s="277"/>
      <c r="AF127" s="277"/>
      <c r="AG127" s="277"/>
      <c r="AH127" s="277"/>
      <c r="AI127" s="277"/>
      <c r="AJ127" s="277"/>
      <c r="AK127" s="277"/>
      <c r="AL127" s="277"/>
      <c r="AM127" s="277"/>
      <c r="AN127" s="277"/>
      <c r="AO127" s="277"/>
      <c r="AP127" s="277"/>
      <c r="AQ127" s="277"/>
      <c r="AR127" s="277"/>
      <c r="AS127" s="277"/>
      <c r="AT127" s="277"/>
      <c r="AU127" s="277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</row>
    <row r="128" spans="1:74" s="8" customFormat="1" ht="27" customHeight="1">
      <c r="A128" s="69"/>
      <c r="B128" s="70"/>
      <c r="C128" s="71"/>
      <c r="D128" s="78" t="s">
        <v>173</v>
      </c>
      <c r="E128" s="71"/>
      <c r="F128" s="79"/>
      <c r="G128" s="73"/>
      <c r="H128" s="73"/>
      <c r="I128" s="118"/>
      <c r="J128" s="287"/>
      <c r="K128" s="288"/>
      <c r="L128" s="277"/>
      <c r="M128" s="277"/>
      <c r="N128" s="277"/>
      <c r="O128" s="277"/>
      <c r="P128" s="277"/>
      <c r="Q128" s="277"/>
      <c r="R128" s="277"/>
      <c r="S128" s="277"/>
      <c r="T128" s="277"/>
      <c r="U128" s="277"/>
      <c r="V128" s="277"/>
      <c r="W128" s="277"/>
      <c r="X128" s="277"/>
      <c r="Y128" s="277"/>
      <c r="Z128" s="277"/>
      <c r="AA128" s="277"/>
      <c r="AB128" s="277"/>
      <c r="AC128" s="277"/>
      <c r="AD128" s="277"/>
      <c r="AE128" s="277"/>
      <c r="AF128" s="277"/>
      <c r="AG128" s="277"/>
      <c r="AH128" s="277"/>
      <c r="AI128" s="277"/>
      <c r="AJ128" s="277"/>
      <c r="AK128" s="277"/>
      <c r="AL128" s="277"/>
      <c r="AM128" s="277"/>
      <c r="AN128" s="277"/>
      <c r="AO128" s="277"/>
      <c r="AP128" s="277"/>
      <c r="AQ128" s="277"/>
      <c r="AR128" s="277"/>
      <c r="AS128" s="277"/>
      <c r="AT128" s="277"/>
      <c r="AU128" s="277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</row>
    <row r="129" spans="1:74" s="8" customFormat="1" ht="67.5" customHeight="1">
      <c r="A129" s="121"/>
      <c r="B129" s="122"/>
      <c r="C129" s="123"/>
      <c r="D129" s="320" t="s">
        <v>313</v>
      </c>
      <c r="E129" s="78"/>
      <c r="F129" s="79"/>
      <c r="G129" s="73"/>
      <c r="H129" s="73"/>
      <c r="I129" s="118"/>
      <c r="J129" s="281"/>
      <c r="K129" s="277"/>
      <c r="L129" s="277"/>
      <c r="M129" s="277"/>
      <c r="N129" s="277"/>
      <c r="O129" s="277"/>
      <c r="P129" s="277"/>
      <c r="Q129" s="277"/>
      <c r="R129" s="277"/>
      <c r="S129" s="277"/>
      <c r="T129" s="277"/>
      <c r="U129" s="277"/>
      <c r="V129" s="277"/>
      <c r="W129" s="277"/>
      <c r="X129" s="277"/>
      <c r="Y129" s="277"/>
      <c r="Z129" s="277"/>
      <c r="AA129" s="277"/>
      <c r="AB129" s="277"/>
      <c r="AC129" s="277"/>
      <c r="AD129" s="277"/>
      <c r="AE129" s="277"/>
      <c r="AF129" s="277"/>
      <c r="AG129" s="277"/>
      <c r="AH129" s="277"/>
      <c r="AI129" s="277"/>
      <c r="AJ129" s="277"/>
      <c r="AK129" s="277"/>
      <c r="AL129" s="277"/>
      <c r="AM129" s="277"/>
      <c r="AN129" s="277"/>
      <c r="AO129" s="277"/>
      <c r="AP129" s="277"/>
      <c r="AQ129" s="277"/>
      <c r="AR129" s="277"/>
      <c r="AS129" s="277"/>
      <c r="AT129" s="277"/>
      <c r="AU129" s="277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</row>
    <row r="130" spans="1:74" s="41" customFormat="1" ht="13.5" customHeight="1">
      <c r="A130" s="88">
        <v>23</v>
      </c>
      <c r="B130" s="120" t="s">
        <v>45</v>
      </c>
      <c r="C130" s="109">
        <v>971035521</v>
      </c>
      <c r="D130" s="110" t="s">
        <v>174</v>
      </c>
      <c r="E130" s="111" t="s">
        <v>36</v>
      </c>
      <c r="F130" s="129">
        <f>SUM(F131:F131)</f>
        <v>0.80800000000000005</v>
      </c>
      <c r="G130" s="130"/>
      <c r="H130" s="94">
        <f>F130*G130</f>
        <v>0</v>
      </c>
      <c r="I130" s="74" t="s">
        <v>37</v>
      </c>
      <c r="J130" s="281"/>
      <c r="K130" s="277"/>
      <c r="L130" s="277"/>
      <c r="M130" s="277"/>
      <c r="N130" s="277"/>
    </row>
    <row r="131" spans="1:74" s="95" customFormat="1" ht="13.5" customHeight="1">
      <c r="A131" s="88"/>
      <c r="B131" s="89"/>
      <c r="C131" s="109"/>
      <c r="D131" s="124" t="s">
        <v>175</v>
      </c>
      <c r="E131" s="111"/>
      <c r="F131" s="98">
        <f>0.4*2.02</f>
        <v>0.80800000000000005</v>
      </c>
      <c r="G131" s="130"/>
      <c r="H131" s="94"/>
      <c r="I131" s="74"/>
      <c r="J131" s="281"/>
      <c r="K131" s="277"/>
      <c r="L131" s="277"/>
      <c r="M131" s="277"/>
      <c r="N131" s="277"/>
    </row>
    <row r="132" spans="1:74" s="41" customFormat="1" ht="13.5" customHeight="1">
      <c r="A132" s="88">
        <v>24</v>
      </c>
      <c r="B132" s="120" t="s">
        <v>45</v>
      </c>
      <c r="C132" s="109">
        <v>971035641</v>
      </c>
      <c r="D132" s="110" t="s">
        <v>176</v>
      </c>
      <c r="E132" s="111" t="s">
        <v>134</v>
      </c>
      <c r="F132" s="129">
        <f>SUM(F133:F133)</f>
        <v>0.63800000000000001</v>
      </c>
      <c r="G132" s="130"/>
      <c r="H132" s="94">
        <f>F132*G132</f>
        <v>0</v>
      </c>
      <c r="I132" s="74" t="s">
        <v>37</v>
      </c>
      <c r="J132" s="281"/>
      <c r="K132" s="277"/>
      <c r="L132" s="277"/>
      <c r="M132" s="277"/>
      <c r="N132" s="277"/>
    </row>
    <row r="133" spans="1:74" s="95" customFormat="1" ht="13.5" customHeight="1">
      <c r="A133" s="88"/>
      <c r="B133" s="89"/>
      <c r="C133" s="109"/>
      <c r="D133" s="124" t="s">
        <v>177</v>
      </c>
      <c r="E133" s="111"/>
      <c r="F133" s="98">
        <f>(1.1*2.9)*0.2</f>
        <v>0.63800000000000001</v>
      </c>
      <c r="G133" s="130"/>
      <c r="H133" s="94"/>
      <c r="I133" s="74"/>
      <c r="J133" s="281"/>
      <c r="K133" s="277"/>
      <c r="L133" s="277"/>
      <c r="M133" s="277"/>
      <c r="N133" s="277"/>
    </row>
    <row r="134" spans="1:74" s="231" customFormat="1" ht="13.5" customHeight="1">
      <c r="A134" s="69">
        <v>25</v>
      </c>
      <c r="B134" s="70" t="s">
        <v>45</v>
      </c>
      <c r="C134" s="71">
        <v>973031151</v>
      </c>
      <c r="D134" s="71" t="s">
        <v>178</v>
      </c>
      <c r="E134" s="71" t="s">
        <v>134</v>
      </c>
      <c r="F134" s="105">
        <f>SUM(F136:F139)</f>
        <v>1.4679</v>
      </c>
      <c r="G134" s="73"/>
      <c r="H134" s="73">
        <f>F134*G134</f>
        <v>0</v>
      </c>
      <c r="I134" s="74" t="s">
        <v>37</v>
      </c>
      <c r="J134" s="287"/>
      <c r="K134" s="288"/>
      <c r="L134" s="277"/>
      <c r="M134" s="277"/>
      <c r="N134" s="277"/>
    </row>
    <row r="135" spans="1:74" s="231" customFormat="1" ht="13.5" customHeight="1">
      <c r="A135" s="69"/>
      <c r="B135" s="70"/>
      <c r="C135" s="71"/>
      <c r="D135" s="78" t="s">
        <v>179</v>
      </c>
      <c r="E135" s="71"/>
      <c r="F135" s="79"/>
      <c r="G135" s="73"/>
      <c r="H135" s="73"/>
      <c r="I135" s="81"/>
    </row>
    <row r="136" spans="1:74" s="231" customFormat="1" ht="13.5" customHeight="1">
      <c r="A136" s="69"/>
      <c r="B136" s="70"/>
      <c r="C136" s="71"/>
      <c r="D136" s="78" t="s">
        <v>180</v>
      </c>
      <c r="E136" s="71"/>
      <c r="F136" s="79">
        <f>(0.1*0.6*1.165)*6</f>
        <v>0.4194</v>
      </c>
      <c r="G136" s="73"/>
      <c r="H136" s="73"/>
      <c r="I136" s="81"/>
    </row>
    <row r="137" spans="1:74" s="231" customFormat="1" ht="13.5" customHeight="1">
      <c r="A137" s="69"/>
      <c r="B137" s="70"/>
      <c r="C137" s="71"/>
      <c r="D137" s="78" t="s">
        <v>181</v>
      </c>
      <c r="E137" s="71"/>
      <c r="F137" s="79">
        <f>(0.1*0.6*1.165)*6</f>
        <v>0.4194</v>
      </c>
      <c r="G137" s="73"/>
      <c r="H137" s="73"/>
      <c r="I137" s="81"/>
    </row>
    <row r="138" spans="1:74" s="231" customFormat="1" ht="13.5" customHeight="1">
      <c r="A138" s="69"/>
      <c r="B138" s="70"/>
      <c r="C138" s="71"/>
      <c r="D138" s="78" t="s">
        <v>182</v>
      </c>
      <c r="E138" s="71"/>
      <c r="F138" s="79">
        <f>(0.1*0.6*1.165)*6</f>
        <v>0.4194</v>
      </c>
      <c r="G138" s="73"/>
      <c r="H138" s="73"/>
      <c r="I138" s="81"/>
    </row>
    <row r="139" spans="1:74" s="231" customFormat="1" ht="13.5" customHeight="1">
      <c r="A139" s="69"/>
      <c r="B139" s="70"/>
      <c r="C139" s="71"/>
      <c r="D139" s="78" t="s">
        <v>183</v>
      </c>
      <c r="E139" s="71"/>
      <c r="F139" s="79">
        <f>(0.1*0.6*1.165)*3</f>
        <v>0.2097</v>
      </c>
      <c r="G139" s="73"/>
      <c r="H139" s="73"/>
      <c r="I139" s="81"/>
    </row>
    <row r="140" spans="1:74" s="8" customFormat="1" ht="13.5" customHeight="1">
      <c r="A140" s="69">
        <v>26</v>
      </c>
      <c r="B140" s="70" t="s">
        <v>45</v>
      </c>
      <c r="C140" s="71">
        <v>973031324</v>
      </c>
      <c r="D140" s="71" t="s">
        <v>364</v>
      </c>
      <c r="E140" s="71" t="s">
        <v>60</v>
      </c>
      <c r="F140" s="105">
        <f>SUM(F141:F142)</f>
        <v>4</v>
      </c>
      <c r="G140" s="73"/>
      <c r="H140" s="73">
        <f>F140*G140</f>
        <v>0</v>
      </c>
      <c r="I140" s="226" t="s">
        <v>37</v>
      </c>
      <c r="J140" s="359"/>
      <c r="K140" s="358"/>
      <c r="L140" s="358"/>
      <c r="M140" s="358"/>
      <c r="N140" s="358"/>
      <c r="O140" s="358"/>
      <c r="P140" s="358"/>
      <c r="Q140" s="358"/>
      <c r="R140" s="358"/>
      <c r="S140" s="358"/>
      <c r="T140" s="358"/>
      <c r="U140" s="358"/>
      <c r="V140" s="358"/>
      <c r="W140" s="358"/>
      <c r="X140" s="358"/>
      <c r="Y140" s="358"/>
      <c r="Z140" s="358"/>
      <c r="AA140" s="358"/>
      <c r="AB140" s="358"/>
      <c r="AC140" s="358"/>
      <c r="AD140" s="358"/>
      <c r="AE140" s="358"/>
      <c r="AF140" s="358"/>
      <c r="AG140" s="358"/>
      <c r="AH140" s="358"/>
      <c r="AI140" s="358"/>
      <c r="AJ140" s="358"/>
      <c r="AK140" s="358"/>
      <c r="AL140" s="358"/>
      <c r="AM140" s="358"/>
      <c r="AN140" s="358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</row>
    <row r="141" spans="1:74" s="8" customFormat="1" ht="27" customHeight="1">
      <c r="A141" s="76"/>
      <c r="B141" s="232"/>
      <c r="C141" s="77"/>
      <c r="D141" s="78" t="s">
        <v>365</v>
      </c>
      <c r="E141" s="77"/>
      <c r="F141" s="79">
        <f>2*1</f>
        <v>2</v>
      </c>
      <c r="G141" s="80"/>
      <c r="H141" s="80"/>
      <c r="I141" s="118"/>
      <c r="J141" s="281"/>
      <c r="K141" s="281"/>
      <c r="L141" s="277"/>
      <c r="M141" s="277"/>
      <c r="N141" s="277"/>
      <c r="O141" s="277"/>
      <c r="P141" s="277"/>
      <c r="Q141" s="277"/>
      <c r="R141" s="277"/>
      <c r="S141" s="277"/>
      <c r="T141" s="277"/>
      <c r="U141" s="277"/>
      <c r="V141" s="277"/>
      <c r="W141" s="277"/>
      <c r="X141" s="277"/>
      <c r="Y141" s="277"/>
      <c r="Z141" s="277"/>
      <c r="AA141" s="277"/>
      <c r="AB141" s="277"/>
      <c r="AC141" s="277"/>
      <c r="AD141" s="277"/>
      <c r="AE141" s="277"/>
      <c r="AF141" s="277"/>
      <c r="AG141" s="277"/>
      <c r="AH141" s="277"/>
      <c r="AI141" s="277"/>
      <c r="AJ141" s="277"/>
      <c r="AK141" s="277"/>
      <c r="AL141" s="277"/>
      <c r="AM141" s="277"/>
      <c r="AN141" s="277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</row>
    <row r="142" spans="1:74" s="8" customFormat="1" ht="27" customHeight="1">
      <c r="A142" s="76"/>
      <c r="B142" s="232"/>
      <c r="C142" s="77"/>
      <c r="D142" s="78" t="s">
        <v>366</v>
      </c>
      <c r="E142" s="77"/>
      <c r="F142" s="79">
        <f>2*1</f>
        <v>2</v>
      </c>
      <c r="G142" s="80"/>
      <c r="H142" s="80"/>
      <c r="I142" s="118"/>
      <c r="J142" s="281"/>
      <c r="K142" s="281"/>
      <c r="L142" s="277"/>
      <c r="M142" s="277"/>
      <c r="N142" s="277"/>
      <c r="O142" s="277"/>
      <c r="P142" s="277"/>
      <c r="Q142" s="277"/>
      <c r="R142" s="277"/>
      <c r="S142" s="277"/>
      <c r="T142" s="277"/>
      <c r="U142" s="277"/>
      <c r="V142" s="277"/>
      <c r="W142" s="277"/>
      <c r="X142" s="277"/>
      <c r="Y142" s="277"/>
      <c r="Z142" s="277"/>
      <c r="AA142" s="277"/>
      <c r="AB142" s="277"/>
      <c r="AC142" s="277"/>
      <c r="AD142" s="277"/>
      <c r="AE142" s="277"/>
      <c r="AF142" s="277"/>
      <c r="AG142" s="277"/>
      <c r="AH142" s="277"/>
      <c r="AI142" s="277"/>
      <c r="AJ142" s="277"/>
      <c r="AK142" s="277"/>
      <c r="AL142" s="277"/>
      <c r="AM142" s="277"/>
      <c r="AN142" s="277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</row>
    <row r="143" spans="1:74" s="231" customFormat="1" ht="13.5" customHeight="1">
      <c r="A143" s="69">
        <v>27</v>
      </c>
      <c r="B143" s="70" t="s">
        <v>45</v>
      </c>
      <c r="C143" s="71">
        <v>974031132</v>
      </c>
      <c r="D143" s="71" t="s">
        <v>184</v>
      </c>
      <c r="E143" s="71" t="s">
        <v>62</v>
      </c>
      <c r="F143" s="105">
        <f>SUM(F145:F147)</f>
        <v>69.55</v>
      </c>
      <c r="G143" s="73"/>
      <c r="H143" s="73">
        <f>F143*G143</f>
        <v>0</v>
      </c>
      <c r="I143" s="106" t="s">
        <v>37</v>
      </c>
    </row>
    <row r="144" spans="1:74" s="231" customFormat="1" ht="27" customHeight="1">
      <c r="A144" s="69"/>
      <c r="B144" s="70"/>
      <c r="C144" s="71"/>
      <c r="D144" s="78" t="s">
        <v>185</v>
      </c>
      <c r="E144" s="71"/>
      <c r="G144" s="73"/>
      <c r="H144" s="73"/>
      <c r="I144" s="81"/>
      <c r="J144" s="324"/>
    </row>
    <row r="145" spans="1:10" s="231" customFormat="1" ht="13.5" customHeight="1">
      <c r="A145" s="69"/>
      <c r="B145" s="70"/>
      <c r="C145" s="71"/>
      <c r="D145" s="78" t="s">
        <v>186</v>
      </c>
      <c r="E145" s="71"/>
      <c r="F145" s="79">
        <f>0.8</f>
        <v>0.8</v>
      </c>
      <c r="G145" s="73"/>
      <c r="H145" s="73"/>
      <c r="I145" s="81"/>
      <c r="J145" s="324"/>
    </row>
    <row r="146" spans="1:10" s="231" customFormat="1" ht="27" customHeight="1">
      <c r="A146" s="69"/>
      <c r="B146" s="70"/>
      <c r="C146" s="71"/>
      <c r="D146" s="78" t="s">
        <v>187</v>
      </c>
      <c r="E146" s="71"/>
      <c r="G146" s="73"/>
      <c r="H146" s="73"/>
      <c r="I146" s="81"/>
    </row>
    <row r="147" spans="1:10" s="231" customFormat="1" ht="13.5" customHeight="1">
      <c r="A147" s="69"/>
      <c r="B147" s="70"/>
      <c r="C147" s="71"/>
      <c r="D147" s="78" t="s">
        <v>188</v>
      </c>
      <c r="E147" s="71"/>
      <c r="F147" s="79">
        <f>68.75</f>
        <v>68.75</v>
      </c>
      <c r="G147" s="73"/>
      <c r="H147" s="73"/>
      <c r="I147" s="81"/>
      <c r="J147" s="324"/>
    </row>
    <row r="148" spans="1:10" s="231" customFormat="1" ht="13.5" customHeight="1">
      <c r="A148" s="69">
        <v>28</v>
      </c>
      <c r="B148" s="70" t="s">
        <v>45</v>
      </c>
      <c r="C148" s="71">
        <v>974031134</v>
      </c>
      <c r="D148" s="71" t="s">
        <v>61</v>
      </c>
      <c r="E148" s="71" t="s">
        <v>62</v>
      </c>
      <c r="F148" s="105">
        <f>SUM(F150:F155)</f>
        <v>23.9</v>
      </c>
      <c r="G148" s="73"/>
      <c r="H148" s="73">
        <f>F148*G148</f>
        <v>0</v>
      </c>
      <c r="I148" s="106" t="s">
        <v>37</v>
      </c>
    </row>
    <row r="149" spans="1:10" s="231" customFormat="1" ht="27" customHeight="1">
      <c r="A149" s="69"/>
      <c r="B149" s="70"/>
      <c r="C149" s="71"/>
      <c r="D149" s="78" t="s">
        <v>315</v>
      </c>
      <c r="E149" s="71"/>
      <c r="G149" s="73"/>
      <c r="H149" s="73"/>
      <c r="I149" s="81"/>
      <c r="J149" s="324"/>
    </row>
    <row r="150" spans="1:10" s="231" customFormat="1" ht="13.5" customHeight="1">
      <c r="A150" s="69"/>
      <c r="B150" s="70"/>
      <c r="C150" s="71"/>
      <c r="D150" s="78" t="s">
        <v>189</v>
      </c>
      <c r="E150" s="71"/>
      <c r="F150" s="79">
        <f>1</f>
        <v>1</v>
      </c>
      <c r="G150" s="73"/>
      <c r="H150" s="73"/>
      <c r="I150" s="81"/>
    </row>
    <row r="151" spans="1:10" s="231" customFormat="1" ht="13.5" customHeight="1">
      <c r="A151" s="69"/>
      <c r="B151" s="70"/>
      <c r="C151" s="71"/>
      <c r="D151" s="78" t="s">
        <v>190</v>
      </c>
      <c r="E151" s="71"/>
      <c r="F151" s="79">
        <f>7.5</f>
        <v>7.5</v>
      </c>
      <c r="G151" s="73"/>
      <c r="H151" s="73"/>
      <c r="I151" s="81"/>
    </row>
    <row r="152" spans="1:10" s="231" customFormat="1" ht="13.5" customHeight="1">
      <c r="A152" s="69"/>
      <c r="B152" s="70"/>
      <c r="C152" s="71"/>
      <c r="D152" s="78" t="s">
        <v>191</v>
      </c>
      <c r="E152" s="71"/>
      <c r="F152" s="79">
        <f>5.8</f>
        <v>5.8</v>
      </c>
      <c r="G152" s="73"/>
      <c r="H152" s="73"/>
      <c r="I152" s="81"/>
    </row>
    <row r="153" spans="1:10" s="231" customFormat="1" ht="13.5" customHeight="1">
      <c r="A153" s="69"/>
      <c r="B153" s="70"/>
      <c r="C153" s="71"/>
      <c r="D153" s="78" t="s">
        <v>192</v>
      </c>
      <c r="E153" s="71"/>
      <c r="F153" s="79">
        <f>5.1</f>
        <v>5.0999999999999996</v>
      </c>
      <c r="G153" s="73"/>
      <c r="H153" s="73"/>
      <c r="I153" s="81"/>
    </row>
    <row r="154" spans="1:10" s="231" customFormat="1" ht="13.5" customHeight="1">
      <c r="A154" s="69"/>
      <c r="B154" s="70"/>
      <c r="C154" s="71"/>
      <c r="D154" s="78" t="s">
        <v>193</v>
      </c>
      <c r="E154" s="71"/>
      <c r="F154" s="79">
        <f>3.6</f>
        <v>3.6</v>
      </c>
      <c r="G154" s="73"/>
      <c r="H154" s="73"/>
      <c r="I154" s="81"/>
    </row>
    <row r="155" spans="1:10" s="231" customFormat="1" ht="13.5" customHeight="1">
      <c r="A155" s="69"/>
      <c r="B155" s="70"/>
      <c r="C155" s="71"/>
      <c r="D155" s="78" t="s">
        <v>194</v>
      </c>
      <c r="E155" s="71"/>
      <c r="F155" s="79">
        <f>0.9</f>
        <v>0.9</v>
      </c>
      <c r="G155" s="73"/>
      <c r="H155" s="73"/>
      <c r="I155" s="81"/>
    </row>
    <row r="156" spans="1:10" s="231" customFormat="1" ht="13.5" customHeight="1">
      <c r="A156" s="69">
        <v>29</v>
      </c>
      <c r="B156" s="70" t="s">
        <v>45</v>
      </c>
      <c r="C156" s="71">
        <v>974031142</v>
      </c>
      <c r="D156" s="71" t="s">
        <v>195</v>
      </c>
      <c r="E156" s="71" t="s">
        <v>62</v>
      </c>
      <c r="F156" s="105">
        <f>SUM(F158:F161)</f>
        <v>14.899999999999999</v>
      </c>
      <c r="G156" s="73"/>
      <c r="H156" s="73">
        <f>F156*G156</f>
        <v>0</v>
      </c>
      <c r="I156" s="106" t="s">
        <v>37</v>
      </c>
    </row>
    <row r="157" spans="1:10" s="231" customFormat="1" ht="27" customHeight="1">
      <c r="A157" s="69"/>
      <c r="B157" s="70"/>
      <c r="C157" s="71"/>
      <c r="D157" s="78" t="s">
        <v>196</v>
      </c>
      <c r="E157" s="71"/>
      <c r="G157" s="73"/>
      <c r="H157" s="73"/>
      <c r="I157" s="81"/>
      <c r="J157" s="324"/>
    </row>
    <row r="158" spans="1:10" s="231" customFormat="1" ht="13.5" customHeight="1">
      <c r="A158" s="69"/>
      <c r="B158" s="70"/>
      <c r="C158" s="71"/>
      <c r="D158" s="78" t="s">
        <v>197</v>
      </c>
      <c r="E158" s="71"/>
      <c r="F158" s="79">
        <f>1.3+3.1</f>
        <v>4.4000000000000004</v>
      </c>
      <c r="G158" s="73"/>
      <c r="H158" s="73"/>
      <c r="I158" s="81"/>
    </row>
    <row r="159" spans="1:10" s="231" customFormat="1" ht="13.5" customHeight="1">
      <c r="A159" s="69"/>
      <c r="B159" s="70"/>
      <c r="C159" s="71"/>
      <c r="D159" s="78" t="s">
        <v>198</v>
      </c>
      <c r="E159" s="71"/>
      <c r="F159" s="79">
        <f>1.3+2.8</f>
        <v>4.0999999999999996</v>
      </c>
      <c r="G159" s="73"/>
      <c r="H159" s="73"/>
      <c r="I159" s="81"/>
    </row>
    <row r="160" spans="1:10" s="231" customFormat="1" ht="13.5" customHeight="1">
      <c r="A160" s="69"/>
      <c r="B160" s="70"/>
      <c r="C160" s="71"/>
      <c r="D160" s="78" t="s">
        <v>199</v>
      </c>
      <c r="E160" s="71"/>
      <c r="F160" s="79">
        <f>4.2</f>
        <v>4.2</v>
      </c>
      <c r="G160" s="73"/>
      <c r="H160" s="73"/>
      <c r="I160" s="81"/>
    </row>
    <row r="161" spans="1:10" s="231" customFormat="1" ht="13.5" customHeight="1">
      <c r="A161" s="69"/>
      <c r="B161" s="70"/>
      <c r="C161" s="71"/>
      <c r="D161" s="78" t="s">
        <v>200</v>
      </c>
      <c r="E161" s="71"/>
      <c r="F161" s="79">
        <f>0.9+1.3</f>
        <v>2.2000000000000002</v>
      </c>
      <c r="G161" s="73"/>
      <c r="H161" s="73"/>
      <c r="I161" s="81"/>
    </row>
    <row r="162" spans="1:10" s="231" customFormat="1" ht="13.5" customHeight="1">
      <c r="A162" s="69">
        <v>30</v>
      </c>
      <c r="B162" s="70" t="s">
        <v>45</v>
      </c>
      <c r="C162" s="71">
        <v>974031164</v>
      </c>
      <c r="D162" s="71" t="s">
        <v>201</v>
      </c>
      <c r="E162" s="71" t="s">
        <v>62</v>
      </c>
      <c r="F162" s="105">
        <f>SUM(F164:F167)</f>
        <v>13.8</v>
      </c>
      <c r="G162" s="73"/>
      <c r="H162" s="73">
        <f>F162*G162</f>
        <v>0</v>
      </c>
      <c r="I162" s="106" t="s">
        <v>37</v>
      </c>
    </row>
    <row r="163" spans="1:10" s="231" customFormat="1" ht="27" customHeight="1">
      <c r="A163" s="69"/>
      <c r="B163" s="70"/>
      <c r="C163" s="71"/>
      <c r="D163" s="78" t="s">
        <v>202</v>
      </c>
      <c r="E163" s="71"/>
      <c r="G163" s="73"/>
      <c r="H163" s="73"/>
      <c r="I163" s="81"/>
      <c r="J163" s="324"/>
    </row>
    <row r="164" spans="1:10" s="231" customFormat="1" ht="13.5" customHeight="1">
      <c r="A164" s="69"/>
      <c r="B164" s="70"/>
      <c r="C164" s="71"/>
      <c r="D164" s="78" t="s">
        <v>203</v>
      </c>
      <c r="E164" s="71"/>
      <c r="F164" s="79">
        <f>3.6</f>
        <v>3.6</v>
      </c>
      <c r="G164" s="73"/>
      <c r="H164" s="73"/>
      <c r="I164" s="81"/>
    </row>
    <row r="165" spans="1:10" s="231" customFormat="1" ht="13.5" customHeight="1">
      <c r="A165" s="69"/>
      <c r="B165" s="70"/>
      <c r="C165" s="71"/>
      <c r="D165" s="78" t="s">
        <v>204</v>
      </c>
      <c r="E165" s="71"/>
      <c r="F165" s="79">
        <f>4.3</f>
        <v>4.3</v>
      </c>
      <c r="G165" s="73"/>
      <c r="H165" s="73"/>
      <c r="I165" s="81"/>
    </row>
    <row r="166" spans="1:10" s="231" customFormat="1" ht="13.5" customHeight="1">
      <c r="A166" s="69"/>
      <c r="B166" s="70"/>
      <c r="C166" s="71"/>
      <c r="D166" s="78" t="s">
        <v>205</v>
      </c>
      <c r="E166" s="71"/>
      <c r="F166" s="79">
        <f>3.9</f>
        <v>3.9</v>
      </c>
      <c r="G166" s="73"/>
      <c r="H166" s="73"/>
      <c r="I166" s="81"/>
    </row>
    <row r="167" spans="1:10" s="231" customFormat="1" ht="13.5" customHeight="1">
      <c r="A167" s="69"/>
      <c r="B167" s="70"/>
      <c r="C167" s="71"/>
      <c r="D167" s="78" t="s">
        <v>206</v>
      </c>
      <c r="E167" s="71"/>
      <c r="F167" s="79">
        <f>2</f>
        <v>2</v>
      </c>
      <c r="G167" s="73"/>
      <c r="H167" s="73"/>
      <c r="I167" s="81"/>
    </row>
    <row r="168" spans="1:10" s="231" customFormat="1" ht="13.5" customHeight="1">
      <c r="A168" s="69">
        <v>31</v>
      </c>
      <c r="B168" s="70" t="s">
        <v>45</v>
      </c>
      <c r="C168" s="71">
        <v>974031165</v>
      </c>
      <c r="D168" s="71" t="s">
        <v>207</v>
      </c>
      <c r="E168" s="71" t="s">
        <v>62</v>
      </c>
      <c r="F168" s="105">
        <f>SUM(F170:F175)</f>
        <v>39.549999999999997</v>
      </c>
      <c r="G168" s="73"/>
      <c r="H168" s="73">
        <f>F168*G168</f>
        <v>0</v>
      </c>
      <c r="I168" s="106" t="s">
        <v>37</v>
      </c>
    </row>
    <row r="169" spans="1:10" s="231" customFormat="1" ht="27" customHeight="1">
      <c r="A169" s="69"/>
      <c r="B169" s="70"/>
      <c r="C169" s="71"/>
      <c r="D169" s="78" t="s">
        <v>208</v>
      </c>
      <c r="E169" s="71"/>
      <c r="G169" s="73"/>
      <c r="H169" s="73"/>
      <c r="I169" s="81"/>
    </row>
    <row r="170" spans="1:10" s="231" customFormat="1" ht="13.5" customHeight="1">
      <c r="A170" s="69"/>
      <c r="B170" s="70"/>
      <c r="C170" s="71"/>
      <c r="D170" s="78" t="s">
        <v>203</v>
      </c>
      <c r="E170" s="71"/>
      <c r="F170" s="79">
        <f>3.6</f>
        <v>3.6</v>
      </c>
      <c r="G170" s="73"/>
      <c r="H170" s="73"/>
      <c r="I170" s="81"/>
      <c r="J170" s="326"/>
    </row>
    <row r="171" spans="1:10" s="231" customFormat="1" ht="13.5" customHeight="1">
      <c r="A171" s="69"/>
      <c r="B171" s="70"/>
      <c r="C171" s="71"/>
      <c r="D171" s="78" t="s">
        <v>209</v>
      </c>
      <c r="E171" s="71"/>
      <c r="F171" s="79">
        <f>3.3</f>
        <v>3.3</v>
      </c>
      <c r="G171" s="73"/>
      <c r="H171" s="73"/>
      <c r="I171" s="81"/>
    </row>
    <row r="172" spans="1:10" s="231" customFormat="1" ht="13.5" customHeight="1">
      <c r="A172" s="69"/>
      <c r="B172" s="70"/>
      <c r="C172" s="71"/>
      <c r="D172" s="78" t="s">
        <v>210</v>
      </c>
      <c r="E172" s="71"/>
      <c r="F172" s="79">
        <f>3.4</f>
        <v>3.4</v>
      </c>
      <c r="G172" s="73"/>
      <c r="H172" s="73"/>
      <c r="I172" s="81"/>
    </row>
    <row r="173" spans="1:10" s="231" customFormat="1" ht="13.5" customHeight="1">
      <c r="A173" s="69"/>
      <c r="B173" s="70"/>
      <c r="C173" s="71"/>
      <c r="D173" s="78" t="s">
        <v>211</v>
      </c>
      <c r="E173" s="71"/>
      <c r="F173" s="79">
        <f>0.5</f>
        <v>0.5</v>
      </c>
      <c r="G173" s="73"/>
      <c r="H173" s="73"/>
      <c r="I173" s="81"/>
    </row>
    <row r="174" spans="1:10" s="231" customFormat="1" ht="27" customHeight="1">
      <c r="A174" s="69"/>
      <c r="B174" s="70"/>
      <c r="C174" s="71"/>
      <c r="D174" s="78" t="s">
        <v>212</v>
      </c>
      <c r="E174" s="71"/>
      <c r="F174" s="79"/>
      <c r="G174" s="73"/>
      <c r="H174" s="73"/>
      <c r="I174" s="81"/>
    </row>
    <row r="175" spans="1:10" s="231" customFormat="1" ht="13.5" customHeight="1">
      <c r="A175" s="69"/>
      <c r="B175" s="70"/>
      <c r="C175" s="71"/>
      <c r="D175" s="78" t="s">
        <v>213</v>
      </c>
      <c r="E175" s="71"/>
      <c r="F175" s="79">
        <f>28.75</f>
        <v>28.75</v>
      </c>
      <c r="G175" s="73"/>
      <c r="H175" s="73"/>
      <c r="I175" s="81"/>
    </row>
    <row r="176" spans="1:10" s="231" customFormat="1" ht="13.5" customHeight="1">
      <c r="A176" s="69">
        <v>32</v>
      </c>
      <c r="B176" s="70" t="s">
        <v>45</v>
      </c>
      <c r="C176" s="71">
        <v>974031167</v>
      </c>
      <c r="D176" s="71" t="s">
        <v>214</v>
      </c>
      <c r="E176" s="71" t="s">
        <v>62</v>
      </c>
      <c r="F176" s="105">
        <f>SUM(F178:F178)</f>
        <v>81</v>
      </c>
      <c r="G176" s="73"/>
      <c r="H176" s="73">
        <f>F176*G176</f>
        <v>0</v>
      </c>
      <c r="I176" s="106" t="s">
        <v>37</v>
      </c>
    </row>
    <row r="177" spans="1:255" s="231" customFormat="1" ht="27" customHeight="1">
      <c r="A177" s="69"/>
      <c r="B177" s="70"/>
      <c r="C177" s="71"/>
      <c r="D177" s="78" t="s">
        <v>215</v>
      </c>
      <c r="E177" s="71"/>
      <c r="G177" s="73"/>
      <c r="H177" s="73"/>
      <c r="I177" s="81"/>
      <c r="J177" s="323"/>
    </row>
    <row r="178" spans="1:255" s="231" customFormat="1" ht="13.5" customHeight="1">
      <c r="A178" s="69"/>
      <c r="B178" s="70"/>
      <c r="C178" s="71"/>
      <c r="D178" s="78" t="s">
        <v>216</v>
      </c>
      <c r="E178" s="71"/>
      <c r="F178" s="79">
        <f>(2.9+3.65*4+2.75)*4</f>
        <v>81</v>
      </c>
      <c r="G178" s="73"/>
      <c r="H178" s="73"/>
      <c r="I178" s="81"/>
    </row>
    <row r="179" spans="1:255" s="231" customFormat="1" ht="13.5" customHeight="1">
      <c r="A179" s="69">
        <v>33</v>
      </c>
      <c r="B179" s="70" t="s">
        <v>45</v>
      </c>
      <c r="C179" s="71">
        <v>974031169</v>
      </c>
      <c r="D179" s="71" t="s">
        <v>217</v>
      </c>
      <c r="E179" s="71" t="s">
        <v>62</v>
      </c>
      <c r="F179" s="105">
        <f>SUM(F181:F181)</f>
        <v>81</v>
      </c>
      <c r="G179" s="73"/>
      <c r="H179" s="73">
        <f>F179*G179</f>
        <v>0</v>
      </c>
      <c r="I179" s="106" t="s">
        <v>37</v>
      </c>
    </row>
    <row r="180" spans="1:255" s="231" customFormat="1" ht="13.5" customHeight="1">
      <c r="A180" s="69"/>
      <c r="B180" s="70"/>
      <c r="C180" s="71"/>
      <c r="D180" s="78" t="s">
        <v>218</v>
      </c>
      <c r="E180" s="71"/>
      <c r="G180" s="73"/>
      <c r="H180" s="73"/>
      <c r="I180" s="81"/>
    </row>
    <row r="181" spans="1:255" s="231" customFormat="1" ht="13.5" customHeight="1">
      <c r="A181" s="69"/>
      <c r="B181" s="70"/>
      <c r="C181" s="71"/>
      <c r="D181" s="78" t="s">
        <v>216</v>
      </c>
      <c r="E181" s="71"/>
      <c r="F181" s="79">
        <f>(2.9+3.65*4+2.75)*4</f>
        <v>81</v>
      </c>
      <c r="G181" s="73"/>
      <c r="H181" s="73"/>
      <c r="I181" s="81"/>
    </row>
    <row r="182" spans="1:255" s="8" customFormat="1" ht="13.5" customHeight="1">
      <c r="A182" s="69">
        <v>34</v>
      </c>
      <c r="B182" s="89" t="s">
        <v>45</v>
      </c>
      <c r="C182" s="71">
        <v>974031664</v>
      </c>
      <c r="D182" s="71" t="s">
        <v>219</v>
      </c>
      <c r="E182" s="71" t="s">
        <v>62</v>
      </c>
      <c r="F182" s="105">
        <f>SUM(F183:F185)</f>
        <v>25.1</v>
      </c>
      <c r="G182" s="73"/>
      <c r="H182" s="73">
        <f>F182*G182</f>
        <v>0</v>
      </c>
      <c r="I182" s="226" t="s">
        <v>37</v>
      </c>
      <c r="J182" s="291"/>
      <c r="K182" s="277"/>
      <c r="L182" s="277"/>
      <c r="M182" s="277"/>
      <c r="N182" s="277"/>
      <c r="O182" s="277"/>
      <c r="P182" s="277"/>
      <c r="Q182" s="277"/>
      <c r="R182" s="277"/>
      <c r="S182" s="277"/>
      <c r="T182" s="277"/>
      <c r="U182" s="277"/>
      <c r="V182" s="277"/>
      <c r="W182" s="277"/>
      <c r="X182" s="277"/>
      <c r="Y182" s="277"/>
      <c r="Z182" s="277"/>
      <c r="AA182" s="277"/>
      <c r="AB182" s="277"/>
      <c r="AC182" s="277"/>
      <c r="AD182" s="277"/>
      <c r="AE182" s="277"/>
      <c r="AF182" s="277"/>
      <c r="AG182" s="277"/>
      <c r="AH182" s="277"/>
      <c r="AI182" s="277"/>
      <c r="AJ182" s="277"/>
      <c r="AK182" s="277"/>
      <c r="AL182" s="277"/>
      <c r="AM182" s="277"/>
      <c r="AN182" s="277"/>
      <c r="AO182" s="277"/>
      <c r="AP182" s="277"/>
      <c r="AQ182" s="277"/>
      <c r="AR182" s="277"/>
      <c r="AS182" s="277"/>
      <c r="AT182" s="277"/>
      <c r="AU182" s="277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75"/>
      <c r="BM182" s="75"/>
      <c r="BN182" s="75"/>
      <c r="BO182" s="75"/>
      <c r="BP182" s="75"/>
      <c r="BQ182" s="75"/>
      <c r="BR182" s="75"/>
      <c r="BS182" s="75"/>
      <c r="BT182" s="75"/>
      <c r="BU182" s="75"/>
      <c r="BV182" s="75"/>
    </row>
    <row r="183" spans="1:255" s="75" customFormat="1" ht="27" customHeight="1">
      <c r="A183" s="76"/>
      <c r="B183" s="232"/>
      <c r="C183" s="77"/>
      <c r="D183" s="78" t="s">
        <v>360</v>
      </c>
      <c r="E183" s="77"/>
      <c r="F183" s="79">
        <f>((0.9+(0.05*2))*1)*21</f>
        <v>21</v>
      </c>
      <c r="G183" s="80"/>
      <c r="H183" s="80"/>
      <c r="I183" s="118"/>
      <c r="J183" s="291"/>
      <c r="K183" s="281"/>
      <c r="L183" s="277"/>
      <c r="M183" s="277"/>
      <c r="N183" s="277"/>
      <c r="O183" s="277"/>
      <c r="P183" s="277"/>
      <c r="Q183" s="277"/>
      <c r="R183" s="277"/>
      <c r="S183" s="277"/>
      <c r="T183" s="277"/>
      <c r="U183" s="277"/>
      <c r="V183" s="277"/>
      <c r="W183" s="277"/>
      <c r="X183" s="277"/>
      <c r="Y183" s="277"/>
      <c r="Z183" s="277"/>
      <c r="AA183" s="277"/>
      <c r="AB183" s="277"/>
      <c r="AC183" s="277"/>
      <c r="AD183" s="277"/>
      <c r="AE183" s="277"/>
      <c r="AF183" s="277"/>
      <c r="AG183" s="277"/>
      <c r="AH183" s="277"/>
      <c r="AI183" s="277"/>
      <c r="AJ183" s="277"/>
      <c r="AK183" s="277"/>
      <c r="AL183" s="277"/>
      <c r="AM183" s="277"/>
      <c r="AN183" s="277"/>
      <c r="AO183" s="277"/>
      <c r="AP183" s="277"/>
      <c r="AQ183" s="277"/>
      <c r="AR183" s="277"/>
      <c r="AS183" s="277"/>
      <c r="AT183" s="277"/>
      <c r="AU183" s="277"/>
    </row>
    <row r="184" spans="1:255" s="75" customFormat="1" ht="27" customHeight="1">
      <c r="A184" s="76"/>
      <c r="B184" s="232"/>
      <c r="C184" s="77"/>
      <c r="D184" s="78" t="s">
        <v>361</v>
      </c>
      <c r="E184" s="77"/>
      <c r="F184" s="79">
        <f>((1.3+(0.05*2))*1)*2</f>
        <v>2.8000000000000003</v>
      </c>
      <c r="G184" s="80"/>
      <c r="H184" s="80"/>
      <c r="I184" s="118"/>
      <c r="J184" s="291"/>
      <c r="K184" s="281"/>
      <c r="L184" s="277"/>
      <c r="M184" s="277"/>
      <c r="N184" s="277"/>
      <c r="O184" s="277"/>
      <c r="P184" s="277"/>
      <c r="Q184" s="277"/>
      <c r="R184" s="277"/>
      <c r="S184" s="277"/>
      <c r="T184" s="277"/>
      <c r="U184" s="277"/>
      <c r="V184" s="277"/>
      <c r="W184" s="277"/>
      <c r="X184" s="277"/>
      <c r="Y184" s="277"/>
      <c r="Z184" s="277"/>
      <c r="AA184" s="277"/>
      <c r="AB184" s="277"/>
      <c r="AC184" s="277"/>
      <c r="AD184" s="277"/>
      <c r="AE184" s="277"/>
      <c r="AF184" s="277"/>
      <c r="AG184" s="277"/>
      <c r="AH184" s="277"/>
      <c r="AI184" s="277"/>
      <c r="AJ184" s="277"/>
      <c r="AK184" s="277"/>
      <c r="AL184" s="277"/>
      <c r="AM184" s="277"/>
      <c r="AN184" s="277"/>
      <c r="AO184" s="277"/>
      <c r="AP184" s="277"/>
      <c r="AQ184" s="277"/>
      <c r="AR184" s="277"/>
      <c r="AS184" s="277"/>
      <c r="AT184" s="277"/>
      <c r="AU184" s="277"/>
    </row>
    <row r="185" spans="1:255" s="75" customFormat="1" ht="27" customHeight="1">
      <c r="A185" s="76"/>
      <c r="B185" s="232"/>
      <c r="C185" s="77"/>
      <c r="D185" s="78" t="s">
        <v>220</v>
      </c>
      <c r="E185" s="77"/>
      <c r="F185" s="79">
        <f>(1.2+(0.05*2))*1</f>
        <v>1.3</v>
      </c>
      <c r="G185" s="80"/>
      <c r="H185" s="80"/>
      <c r="I185" s="118"/>
      <c r="J185" s="291"/>
      <c r="K185" s="281"/>
      <c r="L185" s="277"/>
      <c r="M185" s="277"/>
      <c r="N185" s="277"/>
      <c r="O185" s="277"/>
      <c r="P185" s="277"/>
      <c r="Q185" s="277"/>
      <c r="R185" s="277"/>
      <c r="S185" s="277"/>
      <c r="T185" s="277"/>
      <c r="U185" s="277"/>
      <c r="V185" s="277"/>
      <c r="W185" s="277"/>
      <c r="X185" s="277"/>
      <c r="Y185" s="277"/>
      <c r="Z185" s="277"/>
      <c r="AA185" s="277"/>
      <c r="AB185" s="277"/>
      <c r="AC185" s="277"/>
      <c r="AD185" s="277"/>
      <c r="AE185" s="277"/>
      <c r="AF185" s="277"/>
      <c r="AG185" s="277"/>
      <c r="AH185" s="277"/>
      <c r="AI185" s="277"/>
      <c r="AJ185" s="277"/>
      <c r="AK185" s="277"/>
      <c r="AL185" s="277"/>
      <c r="AM185" s="277"/>
      <c r="AN185" s="277"/>
      <c r="AO185" s="277"/>
      <c r="AP185" s="277"/>
      <c r="AQ185" s="277"/>
      <c r="AR185" s="277"/>
      <c r="AS185" s="277"/>
      <c r="AT185" s="277"/>
      <c r="AU185" s="277"/>
    </row>
    <row r="186" spans="1:255" s="5" customFormat="1" ht="13.5" customHeight="1">
      <c r="A186" s="69">
        <v>35</v>
      </c>
      <c r="B186" s="89" t="s">
        <v>45</v>
      </c>
      <c r="C186" s="71">
        <v>976085311</v>
      </c>
      <c r="D186" s="71" t="s">
        <v>221</v>
      </c>
      <c r="E186" s="71" t="s">
        <v>60</v>
      </c>
      <c r="F186" s="105">
        <f>SUM(F187)</f>
        <v>1</v>
      </c>
      <c r="G186" s="73"/>
      <c r="H186" s="73">
        <f>F186*G186</f>
        <v>0</v>
      </c>
      <c r="I186" s="226" t="s">
        <v>37</v>
      </c>
      <c r="J186" s="134"/>
      <c r="K186" s="284"/>
      <c r="L186" s="284"/>
      <c r="M186" s="284"/>
      <c r="N186" s="284"/>
      <c r="O186" s="284"/>
      <c r="P186" s="284"/>
      <c r="Q186" s="284"/>
      <c r="R186" s="284"/>
      <c r="S186" s="284"/>
      <c r="T186" s="284"/>
      <c r="U186" s="284"/>
      <c r="V186" s="284"/>
      <c r="W186" s="284"/>
      <c r="X186" s="284"/>
      <c r="Y186" s="284"/>
      <c r="Z186" s="284"/>
      <c r="AA186" s="284"/>
      <c r="AB186" s="284"/>
      <c r="AC186" s="284"/>
      <c r="AD186" s="284"/>
      <c r="AE186" s="284"/>
      <c r="AF186" s="284"/>
      <c r="AG186" s="284"/>
      <c r="AH186" s="284"/>
      <c r="AI186" s="284"/>
      <c r="AJ186" s="284"/>
      <c r="AK186" s="284"/>
      <c r="AL186" s="284"/>
      <c r="AM186" s="284"/>
      <c r="AN186" s="284"/>
      <c r="AO186" s="284"/>
      <c r="AP186" s="284"/>
      <c r="AQ186" s="284"/>
      <c r="AR186" s="284"/>
      <c r="AS186" s="284"/>
      <c r="AT186" s="284"/>
      <c r="AU186" s="284"/>
      <c r="AV186" s="116"/>
      <c r="AW186" s="116"/>
      <c r="AX186" s="116"/>
      <c r="AY186" s="116"/>
      <c r="AZ186" s="116"/>
      <c r="BA186" s="116"/>
      <c r="BB186" s="116"/>
      <c r="BC186" s="116"/>
      <c r="BD186" s="116"/>
      <c r="BE186" s="116"/>
      <c r="BF186" s="116"/>
      <c r="BG186" s="116"/>
      <c r="BH186" s="116"/>
      <c r="BI186" s="116"/>
      <c r="BJ186" s="116"/>
      <c r="BK186" s="116"/>
      <c r="BL186" s="116"/>
      <c r="BM186" s="116"/>
      <c r="BN186" s="116"/>
      <c r="BO186" s="116"/>
      <c r="BP186" s="116"/>
      <c r="BQ186" s="116"/>
      <c r="BR186" s="116"/>
      <c r="BS186" s="116"/>
      <c r="BT186" s="116"/>
      <c r="BU186" s="116"/>
      <c r="BV186" s="116"/>
      <c r="BW186" s="116"/>
      <c r="BX186" s="116"/>
      <c r="BY186" s="116"/>
      <c r="BZ186" s="116"/>
      <c r="CA186" s="116"/>
      <c r="CB186" s="116"/>
      <c r="CC186" s="116"/>
      <c r="CD186" s="116"/>
      <c r="CE186" s="116"/>
      <c r="CF186" s="116"/>
      <c r="CG186" s="116"/>
      <c r="CH186" s="116"/>
      <c r="CI186" s="116"/>
      <c r="CJ186" s="116"/>
      <c r="CK186" s="116"/>
      <c r="CL186" s="116"/>
      <c r="CM186" s="116"/>
      <c r="CN186" s="116"/>
      <c r="CO186" s="116"/>
      <c r="CP186" s="116"/>
      <c r="CQ186" s="116"/>
      <c r="CR186" s="116"/>
      <c r="CS186" s="116"/>
      <c r="CT186" s="116"/>
      <c r="CU186" s="116"/>
      <c r="CV186" s="116"/>
      <c r="CW186" s="116"/>
      <c r="CX186" s="116"/>
      <c r="CY186" s="116"/>
      <c r="CZ186" s="116"/>
      <c r="DA186" s="116"/>
      <c r="DB186" s="116"/>
      <c r="DC186" s="116"/>
      <c r="DD186" s="116"/>
      <c r="DE186" s="116"/>
      <c r="DF186" s="116"/>
      <c r="DG186" s="116"/>
      <c r="DH186" s="116"/>
      <c r="DI186" s="116"/>
      <c r="DJ186" s="116"/>
      <c r="DK186" s="116"/>
      <c r="DL186" s="116"/>
      <c r="DM186" s="116"/>
      <c r="DN186" s="116"/>
      <c r="DO186" s="116"/>
      <c r="DP186" s="116"/>
      <c r="DQ186" s="116"/>
      <c r="DR186" s="116"/>
      <c r="DS186" s="116"/>
      <c r="DT186" s="116"/>
      <c r="DU186" s="116"/>
      <c r="DV186" s="116"/>
      <c r="DW186" s="116"/>
      <c r="DX186" s="116"/>
      <c r="DY186" s="116"/>
      <c r="DZ186" s="116"/>
      <c r="EA186" s="116"/>
      <c r="EB186" s="116"/>
      <c r="EC186" s="116"/>
      <c r="ED186" s="116"/>
      <c r="EE186" s="116"/>
      <c r="EF186" s="116"/>
      <c r="EG186" s="116"/>
      <c r="EH186" s="116"/>
      <c r="EI186" s="116"/>
      <c r="EJ186" s="116"/>
      <c r="EK186" s="116"/>
      <c r="EL186" s="116"/>
      <c r="EM186" s="116"/>
      <c r="EN186" s="116"/>
      <c r="EO186" s="116"/>
      <c r="EP186" s="116"/>
      <c r="EQ186" s="116"/>
      <c r="ER186" s="116"/>
      <c r="ES186" s="116"/>
      <c r="ET186" s="116"/>
      <c r="EU186" s="116"/>
      <c r="EV186" s="116"/>
      <c r="EW186" s="116"/>
      <c r="EX186" s="116"/>
      <c r="EY186" s="116"/>
      <c r="EZ186" s="116"/>
      <c r="FA186" s="116"/>
      <c r="FB186" s="116"/>
      <c r="FC186" s="116"/>
      <c r="FD186" s="116"/>
      <c r="FE186" s="116"/>
      <c r="FF186" s="116"/>
      <c r="FG186" s="116"/>
      <c r="FH186" s="116"/>
      <c r="FI186" s="116"/>
      <c r="FJ186" s="116"/>
      <c r="FK186" s="116"/>
      <c r="FL186" s="116"/>
      <c r="FM186" s="116"/>
      <c r="FN186" s="116"/>
      <c r="FO186" s="116"/>
      <c r="FP186" s="116"/>
      <c r="FQ186" s="116"/>
      <c r="FR186" s="116"/>
      <c r="FS186" s="116"/>
      <c r="FT186" s="116"/>
      <c r="FU186" s="116"/>
      <c r="FV186" s="116"/>
      <c r="FW186" s="116"/>
      <c r="FX186" s="116"/>
      <c r="FY186" s="116"/>
      <c r="FZ186" s="116"/>
      <c r="GA186" s="116"/>
      <c r="GB186" s="116"/>
      <c r="GC186" s="116"/>
      <c r="GD186" s="116"/>
      <c r="GE186" s="116"/>
      <c r="GF186" s="116"/>
      <c r="GG186" s="116"/>
      <c r="GH186" s="116"/>
      <c r="GI186" s="116"/>
      <c r="GJ186" s="116"/>
      <c r="GK186" s="116"/>
      <c r="GL186" s="116"/>
      <c r="GM186" s="116"/>
      <c r="GN186" s="116"/>
      <c r="GO186" s="116"/>
      <c r="GP186" s="116"/>
      <c r="GQ186" s="116"/>
      <c r="GR186" s="116"/>
      <c r="GS186" s="116"/>
      <c r="GT186" s="116"/>
      <c r="GU186" s="116"/>
      <c r="GV186" s="116"/>
      <c r="GW186" s="116"/>
      <c r="GX186" s="116"/>
      <c r="GY186" s="116"/>
      <c r="GZ186" s="116"/>
      <c r="HA186" s="116"/>
      <c r="HB186" s="116"/>
      <c r="HC186" s="116"/>
      <c r="HD186" s="116"/>
      <c r="HE186" s="116"/>
      <c r="HF186" s="116"/>
      <c r="HG186" s="116"/>
      <c r="HH186" s="116"/>
      <c r="HI186" s="116"/>
      <c r="HJ186" s="116"/>
      <c r="HK186" s="116"/>
      <c r="HL186" s="116"/>
      <c r="HM186" s="116"/>
      <c r="HN186" s="116"/>
      <c r="HO186" s="116"/>
      <c r="HP186" s="116"/>
      <c r="HQ186" s="116"/>
      <c r="HR186" s="116"/>
      <c r="HS186" s="116"/>
      <c r="HT186" s="116"/>
      <c r="HU186" s="116"/>
      <c r="HV186" s="116"/>
      <c r="HW186" s="116"/>
      <c r="HX186" s="116"/>
      <c r="HY186" s="116"/>
      <c r="HZ186" s="116"/>
      <c r="IA186" s="116"/>
      <c r="IB186" s="116"/>
      <c r="IC186" s="116"/>
      <c r="ID186" s="116"/>
      <c r="IE186" s="116"/>
      <c r="IF186" s="116"/>
      <c r="IG186" s="116"/>
      <c r="IH186" s="116"/>
      <c r="II186" s="116"/>
      <c r="IJ186" s="116"/>
      <c r="IK186" s="116"/>
      <c r="IL186" s="116"/>
      <c r="IM186" s="116"/>
      <c r="IN186" s="116"/>
      <c r="IO186" s="116"/>
      <c r="IP186" s="116"/>
      <c r="IQ186" s="116"/>
      <c r="IR186" s="116"/>
      <c r="IS186" s="116"/>
      <c r="IT186" s="116"/>
      <c r="IU186" s="116"/>
    </row>
    <row r="187" spans="1:255" s="5" customFormat="1" ht="13.5" customHeight="1">
      <c r="A187" s="69"/>
      <c r="B187" s="71"/>
      <c r="C187" s="78"/>
      <c r="D187" s="78" t="s">
        <v>222</v>
      </c>
      <c r="E187" s="78"/>
      <c r="F187" s="79">
        <v>1</v>
      </c>
      <c r="G187" s="143"/>
      <c r="H187" s="143"/>
      <c r="I187" s="106"/>
      <c r="J187" s="284"/>
      <c r="K187" s="284"/>
      <c r="L187" s="284"/>
      <c r="M187" s="284"/>
      <c r="N187" s="284"/>
      <c r="O187" s="284"/>
      <c r="P187" s="284"/>
      <c r="Q187" s="284"/>
      <c r="R187" s="284"/>
      <c r="S187" s="284"/>
      <c r="T187" s="284"/>
      <c r="U187" s="284"/>
      <c r="V187" s="284"/>
      <c r="W187" s="284"/>
      <c r="X187" s="284"/>
      <c r="Y187" s="284"/>
      <c r="Z187" s="284"/>
      <c r="AA187" s="284"/>
      <c r="AB187" s="284"/>
      <c r="AC187" s="284"/>
      <c r="AD187" s="284"/>
      <c r="AE187" s="284"/>
      <c r="AF187" s="284"/>
      <c r="AG187" s="284"/>
      <c r="AH187" s="284"/>
      <c r="AI187" s="284"/>
      <c r="AJ187" s="284"/>
      <c r="AK187" s="284"/>
      <c r="AL187" s="284"/>
      <c r="AM187" s="284"/>
      <c r="AN187" s="284"/>
      <c r="AO187" s="284"/>
      <c r="AP187" s="284"/>
      <c r="AQ187" s="284"/>
      <c r="AR187" s="284"/>
      <c r="AS187" s="284"/>
      <c r="AT187" s="284"/>
      <c r="AU187" s="284"/>
      <c r="AV187" s="116"/>
      <c r="AW187" s="116"/>
      <c r="AX187" s="116"/>
      <c r="AY187" s="116"/>
      <c r="AZ187" s="116"/>
      <c r="BA187" s="116"/>
      <c r="BB187" s="116"/>
      <c r="BC187" s="116"/>
      <c r="BD187" s="116"/>
      <c r="BE187" s="116"/>
      <c r="BF187" s="116"/>
      <c r="BG187" s="116"/>
      <c r="BH187" s="116"/>
      <c r="BI187" s="116"/>
      <c r="BJ187" s="116"/>
      <c r="BK187" s="116"/>
      <c r="BL187" s="116"/>
      <c r="BM187" s="116"/>
      <c r="BN187" s="116"/>
      <c r="BO187" s="116"/>
      <c r="BP187" s="116"/>
      <c r="BQ187" s="116"/>
      <c r="BR187" s="116"/>
      <c r="BS187" s="116"/>
      <c r="BT187" s="116"/>
      <c r="BU187" s="116"/>
      <c r="BV187" s="116"/>
    </row>
    <row r="188" spans="1:255" s="75" customFormat="1" ht="13.5" customHeight="1">
      <c r="A188" s="69">
        <v>36</v>
      </c>
      <c r="B188" s="120" t="s">
        <v>45</v>
      </c>
      <c r="C188" s="173">
        <v>977211122</v>
      </c>
      <c r="D188" s="114" t="s">
        <v>223</v>
      </c>
      <c r="E188" s="174" t="s">
        <v>62</v>
      </c>
      <c r="F188" s="233">
        <f>SUM(F189)</f>
        <v>6.9</v>
      </c>
      <c r="G188" s="234"/>
      <c r="H188" s="73">
        <f>F188*G188</f>
        <v>0</v>
      </c>
      <c r="I188" s="226" t="s">
        <v>37</v>
      </c>
      <c r="J188" s="338"/>
      <c r="K188" s="338"/>
      <c r="L188" s="338"/>
      <c r="M188" s="338"/>
      <c r="N188" s="277"/>
      <c r="O188" s="277"/>
      <c r="P188" s="277"/>
      <c r="Q188" s="277"/>
      <c r="R188" s="277"/>
      <c r="S188" s="277"/>
      <c r="T188" s="277"/>
      <c r="U188" s="277"/>
      <c r="V188" s="277"/>
      <c r="W188" s="277"/>
      <c r="X188" s="277"/>
      <c r="Y188" s="277"/>
      <c r="Z188" s="277"/>
      <c r="AA188" s="277"/>
      <c r="AB188" s="277"/>
      <c r="AC188" s="277"/>
      <c r="AD188" s="277"/>
      <c r="AE188" s="277"/>
      <c r="AF188" s="277"/>
      <c r="AG188" s="277"/>
      <c r="AH188" s="277"/>
      <c r="AI188" s="277"/>
      <c r="AJ188" s="277"/>
      <c r="AK188" s="277"/>
      <c r="AL188" s="277"/>
      <c r="AM188" s="277"/>
      <c r="AN188" s="277"/>
      <c r="AO188" s="277"/>
      <c r="AP188" s="277"/>
      <c r="AQ188" s="277"/>
      <c r="AR188" s="277"/>
      <c r="AS188" s="277"/>
      <c r="AT188" s="277"/>
      <c r="AU188" s="277"/>
    </row>
    <row r="189" spans="1:255" s="75" customFormat="1" ht="13.5" customHeight="1">
      <c r="A189" s="69"/>
      <c r="B189" s="120"/>
      <c r="C189" s="173"/>
      <c r="D189" s="78" t="s">
        <v>224</v>
      </c>
      <c r="E189" s="174"/>
      <c r="F189" s="79">
        <f>(2.9)*2+1.1</f>
        <v>6.9</v>
      </c>
      <c r="G189" s="234"/>
      <c r="H189" s="73"/>
      <c r="I189" s="106"/>
      <c r="J189" s="277"/>
      <c r="K189" s="277"/>
      <c r="L189" s="277"/>
      <c r="M189" s="277"/>
      <c r="N189" s="277"/>
      <c r="O189" s="277"/>
      <c r="P189" s="277"/>
      <c r="Q189" s="277"/>
      <c r="R189" s="277"/>
      <c r="S189" s="277"/>
      <c r="T189" s="277"/>
      <c r="U189" s="277"/>
      <c r="V189" s="277"/>
      <c r="W189" s="277"/>
      <c r="X189" s="277"/>
      <c r="Y189" s="277"/>
      <c r="Z189" s="277"/>
      <c r="AA189" s="277"/>
      <c r="AB189" s="277"/>
      <c r="AC189" s="277"/>
      <c r="AD189" s="277"/>
      <c r="AE189" s="277"/>
      <c r="AF189" s="277"/>
      <c r="AG189" s="277"/>
      <c r="AH189" s="277"/>
      <c r="AI189" s="277"/>
      <c r="AJ189" s="277"/>
      <c r="AK189" s="277"/>
      <c r="AL189" s="277"/>
      <c r="AM189" s="277"/>
      <c r="AN189" s="277"/>
      <c r="AO189" s="277"/>
      <c r="AP189" s="277"/>
      <c r="AQ189" s="277"/>
      <c r="AR189" s="277"/>
      <c r="AS189" s="277"/>
      <c r="AT189" s="277"/>
      <c r="AU189" s="277"/>
    </row>
    <row r="190" spans="1:255" s="41" customFormat="1" ht="13.5" customHeight="1">
      <c r="A190" s="88">
        <v>37</v>
      </c>
      <c r="B190" s="89" t="s">
        <v>45</v>
      </c>
      <c r="C190" s="109">
        <v>975032241</v>
      </c>
      <c r="D190" s="110" t="s">
        <v>225</v>
      </c>
      <c r="E190" s="111" t="s">
        <v>62</v>
      </c>
      <c r="F190" s="129">
        <f>SUM(F191)</f>
        <v>1.05</v>
      </c>
      <c r="G190" s="130"/>
      <c r="H190" s="94">
        <f>F190*G190</f>
        <v>0</v>
      </c>
      <c r="I190" s="74" t="s">
        <v>37</v>
      </c>
      <c r="J190" s="235"/>
      <c r="P190" s="131"/>
      <c r="Q190" s="132"/>
      <c r="R190" s="133"/>
      <c r="S190" s="132"/>
    </row>
    <row r="191" spans="1:255" s="41" customFormat="1" ht="13.5" customHeight="1">
      <c r="A191" s="88"/>
      <c r="B191" s="91"/>
      <c r="C191" s="109"/>
      <c r="D191" s="124" t="s">
        <v>226</v>
      </c>
      <c r="E191" s="111"/>
      <c r="F191" s="98">
        <f>(1.05)*1</f>
        <v>1.05</v>
      </c>
      <c r="G191" s="130"/>
      <c r="H191" s="94"/>
      <c r="I191" s="74"/>
      <c r="P191" s="62"/>
      <c r="Q191" s="132"/>
      <c r="R191" s="133"/>
      <c r="S191" s="132"/>
    </row>
    <row r="192" spans="1:255" s="41" customFormat="1" ht="13.5" customHeight="1">
      <c r="A192" s="88">
        <v>38</v>
      </c>
      <c r="B192" s="89" t="s">
        <v>324</v>
      </c>
      <c r="C192" s="109">
        <v>977151128</v>
      </c>
      <c r="D192" s="110" t="s">
        <v>322</v>
      </c>
      <c r="E192" s="111" t="s">
        <v>62</v>
      </c>
      <c r="F192" s="129">
        <f>SUM(F194:F195)</f>
        <v>1.05</v>
      </c>
      <c r="G192" s="130"/>
      <c r="H192" s="94">
        <f>F192*G192</f>
        <v>0</v>
      </c>
      <c r="I192" s="74" t="s">
        <v>37</v>
      </c>
      <c r="J192" s="235"/>
      <c r="P192" s="131"/>
      <c r="Q192" s="132"/>
      <c r="R192" s="133"/>
      <c r="S192" s="132"/>
    </row>
    <row r="193" spans="1:74" s="41" customFormat="1" ht="13.5" customHeight="1">
      <c r="A193" s="88"/>
      <c r="B193" s="91"/>
      <c r="C193" s="109"/>
      <c r="D193" s="124" t="s">
        <v>325</v>
      </c>
      <c r="E193" s="111"/>
      <c r="G193" s="130"/>
      <c r="H193" s="94"/>
      <c r="I193" s="74"/>
      <c r="P193" s="62"/>
      <c r="Q193" s="132"/>
      <c r="R193" s="133"/>
      <c r="S193" s="132"/>
    </row>
    <row r="194" spans="1:74" s="41" customFormat="1" ht="13.5" customHeight="1">
      <c r="A194" s="88"/>
      <c r="B194" s="91"/>
      <c r="C194" s="109"/>
      <c r="D194" s="124" t="s">
        <v>326</v>
      </c>
      <c r="E194" s="111"/>
      <c r="F194" s="98">
        <f>0.6</f>
        <v>0.6</v>
      </c>
      <c r="G194" s="130"/>
      <c r="H194" s="94"/>
      <c r="I194" s="74"/>
      <c r="P194" s="62"/>
      <c r="Q194" s="132"/>
      <c r="R194" s="133"/>
      <c r="S194" s="132"/>
    </row>
    <row r="195" spans="1:74" s="41" customFormat="1" ht="13.5" customHeight="1">
      <c r="A195" s="88"/>
      <c r="B195" s="91"/>
      <c r="C195" s="109"/>
      <c r="D195" s="124" t="s">
        <v>330</v>
      </c>
      <c r="E195" s="111"/>
      <c r="F195" s="98">
        <f>0.45</f>
        <v>0.45</v>
      </c>
      <c r="G195" s="130"/>
      <c r="H195" s="94"/>
      <c r="I195" s="74"/>
      <c r="P195" s="62"/>
      <c r="Q195" s="132"/>
      <c r="R195" s="133"/>
      <c r="S195" s="132"/>
    </row>
    <row r="196" spans="1:74" s="41" customFormat="1" ht="13.5" customHeight="1">
      <c r="A196" s="88">
        <v>39</v>
      </c>
      <c r="B196" s="89" t="s">
        <v>324</v>
      </c>
      <c r="C196" s="109">
        <v>977151129</v>
      </c>
      <c r="D196" s="110" t="s">
        <v>323</v>
      </c>
      <c r="E196" s="111" t="s">
        <v>62</v>
      </c>
      <c r="F196" s="129">
        <f>SUM(F198:F200)</f>
        <v>1.75</v>
      </c>
      <c r="G196" s="130"/>
      <c r="H196" s="94">
        <f>F196*G196</f>
        <v>0</v>
      </c>
      <c r="I196" s="74" t="s">
        <v>37</v>
      </c>
      <c r="J196" s="235"/>
      <c r="P196" s="131"/>
      <c r="Q196" s="132"/>
      <c r="R196" s="133"/>
      <c r="S196" s="132"/>
    </row>
    <row r="197" spans="1:74" s="41" customFormat="1" ht="13.5" customHeight="1">
      <c r="A197" s="88"/>
      <c r="B197" s="91"/>
      <c r="C197" s="109"/>
      <c r="D197" s="124" t="s">
        <v>325</v>
      </c>
      <c r="E197" s="111"/>
      <c r="F197" s="98"/>
      <c r="G197" s="130"/>
      <c r="H197" s="94"/>
      <c r="I197" s="74"/>
      <c r="P197" s="62"/>
      <c r="Q197" s="132"/>
      <c r="R197" s="133"/>
      <c r="S197" s="132"/>
    </row>
    <row r="198" spans="1:74" s="41" customFormat="1" ht="13.5" customHeight="1">
      <c r="A198" s="88"/>
      <c r="B198" s="91"/>
      <c r="C198" s="109"/>
      <c r="D198" s="124" t="s">
        <v>327</v>
      </c>
      <c r="E198" s="111"/>
      <c r="F198" s="98">
        <f>0.6</f>
        <v>0.6</v>
      </c>
      <c r="G198" s="130"/>
      <c r="H198" s="94"/>
      <c r="I198" s="74"/>
      <c r="P198" s="62"/>
      <c r="Q198" s="132"/>
      <c r="R198" s="133"/>
      <c r="S198" s="132"/>
    </row>
    <row r="199" spans="1:74" s="41" customFormat="1" ht="13.5" customHeight="1">
      <c r="A199" s="88"/>
      <c r="B199" s="91"/>
      <c r="C199" s="109"/>
      <c r="D199" s="124" t="s">
        <v>328</v>
      </c>
      <c r="E199" s="111"/>
      <c r="F199" s="98">
        <f>0.6</f>
        <v>0.6</v>
      </c>
      <c r="G199" s="130"/>
      <c r="H199" s="94"/>
      <c r="I199" s="74"/>
      <c r="P199" s="62"/>
      <c r="Q199" s="132"/>
      <c r="R199" s="133"/>
      <c r="S199" s="132"/>
    </row>
    <row r="200" spans="1:74" s="41" customFormat="1" ht="13.5" customHeight="1">
      <c r="A200" s="88"/>
      <c r="B200" s="91"/>
      <c r="C200" s="109"/>
      <c r="D200" s="124" t="s">
        <v>329</v>
      </c>
      <c r="E200" s="111"/>
      <c r="F200" s="98">
        <f>0.55</f>
        <v>0.55000000000000004</v>
      </c>
      <c r="G200" s="130"/>
      <c r="H200" s="94"/>
      <c r="I200" s="74"/>
      <c r="P200" s="62"/>
      <c r="Q200" s="132"/>
      <c r="R200" s="133"/>
      <c r="S200" s="132"/>
    </row>
    <row r="201" spans="1:74" s="8" customFormat="1" ht="13.5" customHeight="1">
      <c r="A201" s="69">
        <v>40</v>
      </c>
      <c r="B201" s="126" t="s">
        <v>45</v>
      </c>
      <c r="C201" s="71">
        <v>978011161</v>
      </c>
      <c r="D201" s="71" t="s">
        <v>63</v>
      </c>
      <c r="E201" s="71" t="s">
        <v>36</v>
      </c>
      <c r="F201" s="105">
        <f>SUM(F203:F208)</f>
        <v>170.04000000000002</v>
      </c>
      <c r="G201" s="73"/>
      <c r="H201" s="73">
        <f>F201*G201</f>
        <v>0</v>
      </c>
      <c r="I201" s="106" t="s">
        <v>37</v>
      </c>
      <c r="J201" s="290"/>
      <c r="K201" s="277"/>
      <c r="L201" s="277"/>
      <c r="M201" s="277"/>
      <c r="N201" s="277"/>
      <c r="O201" s="277"/>
      <c r="P201" s="277"/>
      <c r="Q201" s="277"/>
      <c r="R201" s="277"/>
      <c r="S201" s="277"/>
      <c r="T201" s="277"/>
      <c r="U201" s="277"/>
      <c r="V201" s="277"/>
      <c r="W201" s="277"/>
      <c r="X201" s="277"/>
      <c r="Y201" s="277"/>
      <c r="Z201" s="277"/>
      <c r="AA201" s="277"/>
      <c r="AB201" s="277"/>
      <c r="AC201" s="277"/>
      <c r="AD201" s="277"/>
      <c r="AE201" s="277"/>
      <c r="AF201" s="277"/>
      <c r="AG201" s="277"/>
      <c r="AH201" s="277"/>
      <c r="AI201" s="277"/>
      <c r="AJ201" s="277"/>
      <c r="AK201" s="277"/>
      <c r="AL201" s="277"/>
      <c r="AM201" s="277"/>
      <c r="AN201" s="277"/>
      <c r="AO201" s="277"/>
      <c r="AP201" s="277"/>
      <c r="AQ201" s="277"/>
      <c r="AR201" s="277"/>
      <c r="AS201" s="277"/>
      <c r="AT201" s="277"/>
      <c r="AU201" s="277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5"/>
      <c r="BL201" s="75"/>
      <c r="BM201" s="75"/>
      <c r="BN201" s="75"/>
      <c r="BO201" s="75"/>
      <c r="BP201" s="75"/>
      <c r="BQ201" s="75"/>
      <c r="BR201" s="75"/>
      <c r="BS201" s="75"/>
      <c r="BT201" s="75"/>
      <c r="BU201" s="75"/>
      <c r="BV201" s="75"/>
    </row>
    <row r="202" spans="1:74" s="12" customFormat="1" ht="13.5" customHeight="1">
      <c r="A202" s="63"/>
      <c r="B202" s="64"/>
      <c r="C202" s="65"/>
      <c r="D202" s="127" t="s">
        <v>227</v>
      </c>
      <c r="E202" s="65"/>
      <c r="F202" s="128"/>
      <c r="G202" s="67"/>
      <c r="H202" s="67"/>
      <c r="I202" s="68"/>
      <c r="J202" s="281"/>
      <c r="K202" s="277"/>
      <c r="L202" s="277"/>
      <c r="M202" s="277"/>
      <c r="N202" s="277"/>
      <c r="O202" s="277"/>
      <c r="P202" s="277"/>
      <c r="Q202" s="277"/>
      <c r="R202" s="277"/>
      <c r="S202" s="277"/>
      <c r="T202" s="277"/>
      <c r="U202" s="277"/>
      <c r="V202" s="277"/>
      <c r="W202" s="277"/>
      <c r="X202" s="277"/>
      <c r="Y202" s="277"/>
      <c r="Z202" s="277"/>
      <c r="AA202" s="277"/>
      <c r="AB202" s="277"/>
      <c r="AC202" s="277"/>
      <c r="AD202" s="277"/>
      <c r="AE202" s="277"/>
      <c r="AF202" s="277"/>
      <c r="AG202" s="277"/>
      <c r="AH202" s="277"/>
      <c r="AI202" s="277"/>
      <c r="AJ202" s="277"/>
      <c r="AK202" s="277"/>
      <c r="AL202" s="277"/>
      <c r="AM202" s="277"/>
      <c r="AN202" s="277"/>
      <c r="AO202" s="277"/>
      <c r="AP202" s="277"/>
      <c r="AQ202" s="277"/>
      <c r="AR202" s="277"/>
      <c r="AS202" s="277"/>
      <c r="AT202" s="277"/>
      <c r="AU202" s="277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</row>
    <row r="203" spans="1:74" s="12" customFormat="1" ht="13.5" customHeight="1">
      <c r="A203" s="63"/>
      <c r="B203" s="64"/>
      <c r="C203" s="65"/>
      <c r="D203" s="127" t="s">
        <v>228</v>
      </c>
      <c r="E203" s="65"/>
      <c r="F203" s="128">
        <f>3.1+3.04+3.9+1.89</f>
        <v>11.930000000000001</v>
      </c>
      <c r="G203" s="67"/>
      <c r="H203" s="67"/>
      <c r="I203" s="68"/>
      <c r="J203" s="281"/>
      <c r="K203" s="277"/>
      <c r="L203" s="277"/>
      <c r="M203" s="277"/>
      <c r="N203" s="277"/>
      <c r="O203" s="277"/>
      <c r="P203" s="277"/>
      <c r="Q203" s="277"/>
      <c r="R203" s="277"/>
      <c r="S203" s="277"/>
      <c r="T203" s="277"/>
      <c r="U203" s="277"/>
      <c r="V203" s="277"/>
      <c r="W203" s="277"/>
      <c r="X203" s="277"/>
      <c r="Y203" s="277"/>
      <c r="Z203" s="277"/>
      <c r="AA203" s="277"/>
      <c r="AB203" s="277"/>
      <c r="AC203" s="277"/>
      <c r="AD203" s="277"/>
      <c r="AE203" s="277"/>
      <c r="AF203" s="277"/>
      <c r="AG203" s="277"/>
      <c r="AH203" s="277"/>
      <c r="AI203" s="277"/>
      <c r="AJ203" s="277"/>
      <c r="AK203" s="277"/>
      <c r="AL203" s="277"/>
      <c r="AM203" s="277"/>
      <c r="AN203" s="277"/>
      <c r="AO203" s="277"/>
      <c r="AP203" s="277"/>
      <c r="AQ203" s="277"/>
      <c r="AR203" s="277"/>
      <c r="AS203" s="277"/>
      <c r="AT203" s="277"/>
      <c r="AU203" s="277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</row>
    <row r="204" spans="1:74" s="12" customFormat="1" ht="13.5" customHeight="1">
      <c r="A204" s="63"/>
      <c r="B204" s="64"/>
      <c r="C204" s="65"/>
      <c r="D204" s="127" t="s">
        <v>229</v>
      </c>
      <c r="E204" s="65"/>
      <c r="F204" s="128">
        <f>4.5+3.15+5.06+15.53+6.88+4.45+1.51+4.11</f>
        <v>45.190000000000005</v>
      </c>
      <c r="G204" s="67"/>
      <c r="H204" s="67"/>
      <c r="I204" s="68"/>
      <c r="J204" s="281"/>
      <c r="K204" s="277"/>
      <c r="L204" s="277"/>
      <c r="M204" s="277"/>
      <c r="N204" s="277"/>
      <c r="O204" s="277"/>
      <c r="P204" s="277"/>
      <c r="Q204" s="277"/>
      <c r="R204" s="277"/>
      <c r="S204" s="277"/>
      <c r="T204" s="277"/>
      <c r="U204" s="277"/>
      <c r="V204" s="277"/>
      <c r="W204" s="277"/>
      <c r="X204" s="277"/>
      <c r="Y204" s="277"/>
      <c r="Z204" s="277"/>
      <c r="AA204" s="277"/>
      <c r="AB204" s="277"/>
      <c r="AC204" s="277"/>
      <c r="AD204" s="277"/>
      <c r="AE204" s="277"/>
      <c r="AF204" s="277"/>
      <c r="AG204" s="277"/>
      <c r="AH204" s="277"/>
      <c r="AI204" s="277"/>
      <c r="AJ204" s="277"/>
      <c r="AK204" s="277"/>
      <c r="AL204" s="277"/>
      <c r="AM204" s="277"/>
      <c r="AN204" s="277"/>
      <c r="AO204" s="277"/>
      <c r="AP204" s="277"/>
      <c r="AQ204" s="277"/>
      <c r="AR204" s="277"/>
      <c r="AS204" s="277"/>
      <c r="AT204" s="277"/>
      <c r="AU204" s="277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</row>
    <row r="205" spans="1:74" s="12" customFormat="1" ht="13.5" customHeight="1">
      <c r="A205" s="63"/>
      <c r="B205" s="64"/>
      <c r="C205" s="65"/>
      <c r="D205" s="127" t="s">
        <v>230</v>
      </c>
      <c r="E205" s="65"/>
      <c r="F205" s="128">
        <f>15.55+4+1.61+4.45+6.88+4.17+3.02+4.87</f>
        <v>44.550000000000004</v>
      </c>
      <c r="G205" s="67"/>
      <c r="H205" s="67"/>
      <c r="I205" s="68"/>
      <c r="J205" s="281"/>
      <c r="K205" s="277"/>
      <c r="L205" s="277"/>
      <c r="M205" s="277"/>
      <c r="N205" s="277"/>
      <c r="O205" s="277"/>
      <c r="P205" s="277"/>
      <c r="Q205" s="277"/>
      <c r="R205" s="277"/>
      <c r="S205" s="277"/>
      <c r="T205" s="277"/>
      <c r="U205" s="277"/>
      <c r="V205" s="277"/>
      <c r="W205" s="277"/>
      <c r="X205" s="277"/>
      <c r="Y205" s="277"/>
      <c r="Z205" s="277"/>
      <c r="AA205" s="277"/>
      <c r="AB205" s="277"/>
      <c r="AC205" s="277"/>
      <c r="AD205" s="277"/>
      <c r="AE205" s="277"/>
      <c r="AF205" s="277"/>
      <c r="AG205" s="277"/>
      <c r="AH205" s="277"/>
      <c r="AI205" s="277"/>
      <c r="AJ205" s="277"/>
      <c r="AK205" s="277"/>
      <c r="AL205" s="277"/>
      <c r="AM205" s="277"/>
      <c r="AN205" s="277"/>
      <c r="AO205" s="277"/>
      <c r="AP205" s="277"/>
      <c r="AQ205" s="277"/>
      <c r="AR205" s="277"/>
      <c r="AS205" s="277"/>
      <c r="AT205" s="277"/>
      <c r="AU205" s="277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</row>
    <row r="206" spans="1:74" s="12" customFormat="1" ht="13.5" customHeight="1">
      <c r="A206" s="63"/>
      <c r="B206" s="64"/>
      <c r="C206" s="65"/>
      <c r="D206" s="127" t="s">
        <v>231</v>
      </c>
      <c r="E206" s="65"/>
      <c r="F206" s="128">
        <f>7.75+1.49+3.36+9.9+4.73+6.85+2.08+3.08+7</f>
        <v>46.239999999999995</v>
      </c>
      <c r="G206" s="67"/>
      <c r="H206" s="67"/>
      <c r="I206" s="68"/>
      <c r="J206" s="281"/>
      <c r="K206" s="277"/>
      <c r="L206" s="277"/>
      <c r="M206" s="277"/>
      <c r="N206" s="277"/>
      <c r="O206" s="277"/>
      <c r="P206" s="277"/>
      <c r="Q206" s="277"/>
      <c r="R206" s="277"/>
      <c r="S206" s="277"/>
      <c r="T206" s="277"/>
      <c r="U206" s="277"/>
      <c r="V206" s="277"/>
      <c r="W206" s="277"/>
      <c r="X206" s="277"/>
      <c r="Y206" s="277"/>
      <c r="Z206" s="277"/>
      <c r="AA206" s="277"/>
      <c r="AB206" s="277"/>
      <c r="AC206" s="277"/>
      <c r="AD206" s="277"/>
      <c r="AE206" s="277"/>
      <c r="AF206" s="277"/>
      <c r="AG206" s="277"/>
      <c r="AH206" s="277"/>
      <c r="AI206" s="277"/>
      <c r="AJ206" s="277"/>
      <c r="AK206" s="277"/>
      <c r="AL206" s="277"/>
      <c r="AM206" s="277"/>
      <c r="AN206" s="277"/>
      <c r="AO206" s="277"/>
      <c r="AP206" s="277"/>
      <c r="AQ206" s="277"/>
      <c r="AR206" s="277"/>
      <c r="AS206" s="277"/>
      <c r="AT206" s="277"/>
      <c r="AU206" s="277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</row>
    <row r="207" spans="1:74" s="12" customFormat="1" ht="13.5" customHeight="1">
      <c r="A207" s="63"/>
      <c r="B207" s="64"/>
      <c r="C207" s="65"/>
      <c r="D207" s="127" t="s">
        <v>232</v>
      </c>
      <c r="E207" s="65"/>
      <c r="F207" s="128">
        <f>1.65+4.22+2.89+4.83+2.28+2.94</f>
        <v>18.809999999999999</v>
      </c>
      <c r="G207" s="67"/>
      <c r="H207" s="67"/>
      <c r="I207" s="68"/>
      <c r="J207" s="281"/>
      <c r="K207" s="277"/>
      <c r="L207" s="277"/>
      <c r="M207" s="277"/>
      <c r="N207" s="277"/>
      <c r="O207" s="277"/>
      <c r="P207" s="277"/>
      <c r="Q207" s="277"/>
      <c r="R207" s="277"/>
      <c r="S207" s="277"/>
      <c r="T207" s="277"/>
      <c r="U207" s="277"/>
      <c r="V207" s="277"/>
      <c r="W207" s="277"/>
      <c r="X207" s="277"/>
      <c r="Y207" s="277"/>
      <c r="Z207" s="277"/>
      <c r="AA207" s="277"/>
      <c r="AB207" s="277"/>
      <c r="AC207" s="277"/>
      <c r="AD207" s="277"/>
      <c r="AE207" s="277"/>
      <c r="AF207" s="277"/>
      <c r="AG207" s="277"/>
      <c r="AH207" s="277"/>
      <c r="AI207" s="277"/>
      <c r="AJ207" s="277"/>
      <c r="AK207" s="277"/>
      <c r="AL207" s="277"/>
      <c r="AM207" s="277"/>
      <c r="AN207" s="277"/>
      <c r="AO207" s="277"/>
      <c r="AP207" s="277"/>
      <c r="AQ207" s="277"/>
      <c r="AR207" s="277"/>
      <c r="AS207" s="277"/>
      <c r="AT207" s="277"/>
      <c r="AU207" s="277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</row>
    <row r="208" spans="1:74" s="12" customFormat="1" ht="13.5" customHeight="1">
      <c r="A208" s="63"/>
      <c r="B208" s="64"/>
      <c r="C208" s="65"/>
      <c r="D208" s="127" t="s">
        <v>233</v>
      </c>
      <c r="E208" s="65"/>
      <c r="F208" s="128">
        <f>3.32</f>
        <v>3.32</v>
      </c>
      <c r="G208" s="67"/>
      <c r="H208" s="67"/>
      <c r="I208" s="68"/>
      <c r="J208" s="281"/>
      <c r="K208" s="277"/>
      <c r="L208" s="277"/>
      <c r="M208" s="277"/>
      <c r="N208" s="277"/>
      <c r="O208" s="277"/>
      <c r="P208" s="277"/>
      <c r="Q208" s="277"/>
      <c r="R208" s="277"/>
      <c r="S208" s="277"/>
      <c r="T208" s="277"/>
      <c r="U208" s="277"/>
      <c r="V208" s="277"/>
      <c r="W208" s="277"/>
      <c r="X208" s="277"/>
      <c r="Y208" s="277"/>
      <c r="Z208" s="277"/>
      <c r="AA208" s="277"/>
      <c r="AB208" s="277"/>
      <c r="AC208" s="277"/>
      <c r="AD208" s="277"/>
      <c r="AE208" s="277"/>
      <c r="AF208" s="277"/>
      <c r="AG208" s="277"/>
      <c r="AH208" s="277"/>
      <c r="AI208" s="277"/>
      <c r="AJ208" s="277"/>
      <c r="AK208" s="277"/>
      <c r="AL208" s="277"/>
      <c r="AM208" s="277"/>
      <c r="AN208" s="277"/>
      <c r="AO208" s="277"/>
      <c r="AP208" s="277"/>
      <c r="AQ208" s="277"/>
      <c r="AR208" s="277"/>
      <c r="AS208" s="277"/>
      <c r="AT208" s="277"/>
      <c r="AU208" s="277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</row>
    <row r="209" spans="1:256" s="8" customFormat="1" ht="13.5" customHeight="1">
      <c r="A209" s="69">
        <v>41</v>
      </c>
      <c r="B209" s="126" t="s">
        <v>45</v>
      </c>
      <c r="C209" s="71">
        <v>978013161</v>
      </c>
      <c r="D209" s="71" t="s">
        <v>64</v>
      </c>
      <c r="E209" s="71" t="s">
        <v>36</v>
      </c>
      <c r="F209" s="105">
        <f>SUM(F211:F216)</f>
        <v>251.63</v>
      </c>
      <c r="G209" s="73"/>
      <c r="H209" s="73">
        <f>F209*G209</f>
        <v>0</v>
      </c>
      <c r="I209" s="106" t="s">
        <v>37</v>
      </c>
      <c r="J209" s="291"/>
      <c r="K209" s="339"/>
      <c r="L209" s="339"/>
      <c r="M209" s="339"/>
      <c r="N209" s="339"/>
      <c r="O209" s="339"/>
      <c r="P209" s="339"/>
      <c r="Q209" s="277"/>
      <c r="R209" s="277"/>
      <c r="S209" s="277"/>
      <c r="T209" s="277"/>
      <c r="U209" s="277"/>
      <c r="V209" s="277"/>
      <c r="W209" s="277"/>
      <c r="X209" s="277"/>
      <c r="Y209" s="277"/>
      <c r="Z209" s="277"/>
      <c r="AA209" s="277"/>
      <c r="AB209" s="277"/>
      <c r="AC209" s="277"/>
      <c r="AD209" s="277"/>
      <c r="AE209" s="277"/>
      <c r="AF209" s="277"/>
      <c r="AG209" s="277"/>
      <c r="AH209" s="277"/>
      <c r="AI209" s="277"/>
      <c r="AJ209" s="277"/>
      <c r="AK209" s="277"/>
      <c r="AL209" s="277"/>
      <c r="AM209" s="277"/>
      <c r="AN209" s="277"/>
      <c r="AO209" s="277"/>
      <c r="AP209" s="277"/>
      <c r="AQ209" s="277"/>
      <c r="AR209" s="277"/>
      <c r="AS209" s="277"/>
      <c r="AT209" s="277"/>
      <c r="AU209" s="277"/>
      <c r="AV209" s="75"/>
      <c r="AW209" s="75"/>
      <c r="AX209" s="75"/>
      <c r="AY209" s="75"/>
      <c r="AZ209" s="75"/>
      <c r="BA209" s="75"/>
      <c r="BB209" s="75"/>
      <c r="BC209" s="75"/>
      <c r="BD209" s="75"/>
      <c r="BE209" s="75"/>
      <c r="BF209" s="75"/>
      <c r="BG209" s="75"/>
      <c r="BH209" s="75"/>
      <c r="BI209" s="75"/>
      <c r="BJ209" s="75"/>
      <c r="BK209" s="75"/>
      <c r="BL209" s="75"/>
      <c r="BM209" s="75"/>
      <c r="BN209" s="75"/>
      <c r="BO209" s="75"/>
      <c r="BP209" s="75"/>
      <c r="BQ209" s="75"/>
      <c r="BR209" s="75"/>
      <c r="BS209" s="75"/>
      <c r="BT209" s="75"/>
      <c r="BU209" s="75"/>
      <c r="BV209" s="75"/>
    </row>
    <row r="210" spans="1:256" s="12" customFormat="1" ht="13.5" customHeight="1">
      <c r="A210" s="63"/>
      <c r="B210" s="64"/>
      <c r="C210" s="65"/>
      <c r="D210" s="127" t="s">
        <v>234</v>
      </c>
      <c r="E210" s="65"/>
      <c r="F210" s="66"/>
      <c r="G210" s="67"/>
      <c r="H210" s="67"/>
      <c r="I210" s="68"/>
      <c r="J210" s="340"/>
      <c r="K210" s="277"/>
      <c r="L210" s="277"/>
      <c r="M210" s="277"/>
      <c r="N210" s="277"/>
      <c r="O210" s="277"/>
      <c r="P210" s="277"/>
      <c r="Q210" s="277"/>
      <c r="R210" s="277"/>
      <c r="S210" s="277"/>
      <c r="T210" s="277"/>
      <c r="U210" s="277"/>
      <c r="V210" s="277"/>
      <c r="W210" s="277"/>
      <c r="X210" s="277"/>
      <c r="Y210" s="277"/>
      <c r="Z210" s="277"/>
      <c r="AA210" s="277"/>
      <c r="AB210" s="277"/>
      <c r="AC210" s="277"/>
      <c r="AD210" s="277"/>
      <c r="AE210" s="277"/>
      <c r="AF210" s="277"/>
      <c r="AG210" s="277"/>
      <c r="AH210" s="277"/>
      <c r="AI210" s="277"/>
      <c r="AJ210" s="277"/>
      <c r="AK210" s="277"/>
      <c r="AL210" s="277"/>
      <c r="AM210" s="277"/>
      <c r="AN210" s="277"/>
      <c r="AO210" s="277"/>
      <c r="AP210" s="277"/>
      <c r="AQ210" s="277"/>
      <c r="AR210" s="277"/>
      <c r="AS210" s="277"/>
      <c r="AT210" s="277"/>
      <c r="AU210" s="277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</row>
    <row r="211" spans="1:256" s="12" customFormat="1" ht="13.5" customHeight="1">
      <c r="A211" s="63"/>
      <c r="B211" s="64"/>
      <c r="C211" s="65"/>
      <c r="D211" s="127" t="s">
        <v>235</v>
      </c>
      <c r="E211" s="65"/>
      <c r="F211" s="128">
        <f>15.98</f>
        <v>15.98</v>
      </c>
      <c r="G211" s="67"/>
      <c r="H211" s="67"/>
      <c r="I211" s="68"/>
      <c r="J211" s="281"/>
      <c r="K211" s="277"/>
      <c r="L211" s="277"/>
      <c r="M211" s="277"/>
      <c r="N211" s="277"/>
      <c r="O211" s="277"/>
      <c r="P211" s="277"/>
      <c r="Q211" s="277"/>
      <c r="R211" s="277"/>
      <c r="S211" s="277"/>
      <c r="T211" s="277"/>
      <c r="U211" s="277"/>
      <c r="V211" s="277"/>
      <c r="W211" s="277"/>
      <c r="X211" s="277"/>
      <c r="Y211" s="277"/>
      <c r="Z211" s="277"/>
      <c r="AA211" s="277"/>
      <c r="AB211" s="277"/>
      <c r="AC211" s="277"/>
      <c r="AD211" s="277"/>
      <c r="AE211" s="277"/>
      <c r="AF211" s="277"/>
      <c r="AG211" s="277"/>
      <c r="AH211" s="277"/>
      <c r="AI211" s="277"/>
      <c r="AJ211" s="277"/>
      <c r="AK211" s="277"/>
      <c r="AL211" s="277"/>
      <c r="AM211" s="277"/>
      <c r="AN211" s="277"/>
      <c r="AO211" s="277"/>
      <c r="AP211" s="277"/>
      <c r="AQ211" s="277"/>
      <c r="AR211" s="277"/>
      <c r="AS211" s="277"/>
      <c r="AT211" s="277"/>
      <c r="AU211" s="277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</row>
    <row r="212" spans="1:256" s="12" customFormat="1" ht="13.5" customHeight="1">
      <c r="A212" s="63"/>
      <c r="B212" s="64"/>
      <c r="C212" s="65"/>
      <c r="D212" s="127" t="s">
        <v>236</v>
      </c>
      <c r="E212" s="65"/>
      <c r="F212" s="128">
        <f>68.31</f>
        <v>68.31</v>
      </c>
      <c r="G212" s="67"/>
      <c r="H212" s="67"/>
      <c r="I212" s="68"/>
      <c r="J212" s="281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7"/>
      <c r="W212" s="277"/>
      <c r="X212" s="277"/>
      <c r="Y212" s="277"/>
      <c r="Z212" s="277"/>
      <c r="AA212" s="277"/>
      <c r="AB212" s="277"/>
      <c r="AC212" s="277"/>
      <c r="AD212" s="277"/>
      <c r="AE212" s="277"/>
      <c r="AF212" s="277"/>
      <c r="AG212" s="277"/>
      <c r="AH212" s="277"/>
      <c r="AI212" s="277"/>
      <c r="AJ212" s="277"/>
      <c r="AK212" s="277"/>
      <c r="AL212" s="277"/>
      <c r="AM212" s="277"/>
      <c r="AN212" s="277"/>
      <c r="AO212" s="277"/>
      <c r="AP212" s="277"/>
      <c r="AQ212" s="277"/>
      <c r="AR212" s="277"/>
      <c r="AS212" s="277"/>
      <c r="AT212" s="277"/>
      <c r="AU212" s="277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</row>
    <row r="213" spans="1:256" s="12" customFormat="1" ht="13.5" customHeight="1">
      <c r="A213" s="63"/>
      <c r="B213" s="64"/>
      <c r="C213" s="65"/>
      <c r="D213" s="127" t="s">
        <v>237</v>
      </c>
      <c r="E213" s="65"/>
      <c r="F213" s="128">
        <f>66.83</f>
        <v>66.83</v>
      </c>
      <c r="G213" s="67"/>
      <c r="H213" s="67"/>
      <c r="I213" s="68"/>
      <c r="J213" s="281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7"/>
      <c r="W213" s="277"/>
      <c r="X213" s="277"/>
      <c r="Y213" s="277"/>
      <c r="Z213" s="277"/>
      <c r="AA213" s="277"/>
      <c r="AB213" s="277"/>
      <c r="AC213" s="277"/>
      <c r="AD213" s="277"/>
      <c r="AE213" s="277"/>
      <c r="AF213" s="277"/>
      <c r="AG213" s="277"/>
      <c r="AH213" s="277"/>
      <c r="AI213" s="277"/>
      <c r="AJ213" s="277"/>
      <c r="AK213" s="277"/>
      <c r="AL213" s="277"/>
      <c r="AM213" s="277"/>
      <c r="AN213" s="277"/>
      <c r="AO213" s="277"/>
      <c r="AP213" s="277"/>
      <c r="AQ213" s="277"/>
      <c r="AR213" s="277"/>
      <c r="AS213" s="277"/>
      <c r="AT213" s="277"/>
      <c r="AU213" s="277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</row>
    <row r="214" spans="1:256" s="12" customFormat="1" ht="13.5" customHeight="1">
      <c r="A214" s="63"/>
      <c r="B214" s="64"/>
      <c r="C214" s="65"/>
      <c r="D214" s="127" t="s">
        <v>238</v>
      </c>
      <c r="E214" s="65"/>
      <c r="F214" s="128">
        <f>66.75</f>
        <v>66.75</v>
      </c>
      <c r="G214" s="67"/>
      <c r="H214" s="67"/>
      <c r="I214" s="68"/>
      <c r="J214" s="281"/>
      <c r="K214" s="277"/>
      <c r="L214" s="277"/>
      <c r="M214" s="277"/>
      <c r="N214" s="277"/>
      <c r="O214" s="277"/>
      <c r="P214" s="277"/>
      <c r="Q214" s="277"/>
      <c r="R214" s="277"/>
      <c r="S214" s="277"/>
      <c r="T214" s="277"/>
      <c r="U214" s="277"/>
      <c r="V214" s="277"/>
      <c r="W214" s="277"/>
      <c r="X214" s="277"/>
      <c r="Y214" s="277"/>
      <c r="Z214" s="277"/>
      <c r="AA214" s="277"/>
      <c r="AB214" s="277"/>
      <c r="AC214" s="277"/>
      <c r="AD214" s="277"/>
      <c r="AE214" s="277"/>
      <c r="AF214" s="277"/>
      <c r="AG214" s="277"/>
      <c r="AH214" s="277"/>
      <c r="AI214" s="277"/>
      <c r="AJ214" s="277"/>
      <c r="AK214" s="277"/>
      <c r="AL214" s="277"/>
      <c r="AM214" s="277"/>
      <c r="AN214" s="277"/>
      <c r="AO214" s="277"/>
      <c r="AP214" s="277"/>
      <c r="AQ214" s="277"/>
      <c r="AR214" s="277"/>
      <c r="AS214" s="277"/>
      <c r="AT214" s="277"/>
      <c r="AU214" s="277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</row>
    <row r="215" spans="1:256" s="12" customFormat="1" ht="13.5" customHeight="1">
      <c r="A215" s="63"/>
      <c r="B215" s="64"/>
      <c r="C215" s="65"/>
      <c r="D215" s="127" t="s">
        <v>239</v>
      </c>
      <c r="E215" s="65"/>
      <c r="F215" s="128">
        <f>28.88</f>
        <v>28.88</v>
      </c>
      <c r="G215" s="67"/>
      <c r="H215" s="67"/>
      <c r="I215" s="68"/>
      <c r="J215" s="281"/>
      <c r="K215" s="277"/>
      <c r="L215" s="277"/>
      <c r="M215" s="277"/>
      <c r="N215" s="277"/>
      <c r="O215" s="277"/>
      <c r="P215" s="277"/>
      <c r="Q215" s="277"/>
      <c r="R215" s="277"/>
      <c r="S215" s="277"/>
      <c r="T215" s="277"/>
      <c r="U215" s="277"/>
      <c r="V215" s="277"/>
      <c r="W215" s="277"/>
      <c r="X215" s="277"/>
      <c r="Y215" s="277"/>
      <c r="Z215" s="277"/>
      <c r="AA215" s="277"/>
      <c r="AB215" s="277"/>
      <c r="AC215" s="277"/>
      <c r="AD215" s="277"/>
      <c r="AE215" s="277"/>
      <c r="AF215" s="277"/>
      <c r="AG215" s="277"/>
      <c r="AH215" s="277"/>
      <c r="AI215" s="277"/>
      <c r="AJ215" s="277"/>
      <c r="AK215" s="277"/>
      <c r="AL215" s="277"/>
      <c r="AM215" s="277"/>
      <c r="AN215" s="277"/>
      <c r="AO215" s="277"/>
      <c r="AP215" s="277"/>
      <c r="AQ215" s="277"/>
      <c r="AR215" s="277"/>
      <c r="AS215" s="277"/>
      <c r="AT215" s="277"/>
      <c r="AU215" s="277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</row>
    <row r="216" spans="1:256" s="12" customFormat="1" ht="13.5" customHeight="1">
      <c r="A216" s="63"/>
      <c r="B216" s="64"/>
      <c r="C216" s="65"/>
      <c r="D216" s="127" t="s">
        <v>240</v>
      </c>
      <c r="E216" s="65"/>
      <c r="F216" s="128">
        <f>4.88</f>
        <v>4.88</v>
      </c>
      <c r="G216" s="67"/>
      <c r="H216" s="67"/>
      <c r="I216" s="68"/>
      <c r="J216" s="281"/>
      <c r="K216" s="277"/>
      <c r="L216" s="277"/>
      <c r="M216" s="277"/>
      <c r="N216" s="277"/>
      <c r="O216" s="277"/>
      <c r="P216" s="277"/>
      <c r="Q216" s="277"/>
      <c r="R216" s="277"/>
      <c r="S216" s="277"/>
      <c r="T216" s="277"/>
      <c r="U216" s="277"/>
      <c r="V216" s="277"/>
      <c r="W216" s="277"/>
      <c r="X216" s="277"/>
      <c r="Y216" s="277"/>
      <c r="Z216" s="277"/>
      <c r="AA216" s="277"/>
      <c r="AB216" s="277"/>
      <c r="AC216" s="277"/>
      <c r="AD216" s="277"/>
      <c r="AE216" s="277"/>
      <c r="AF216" s="277"/>
      <c r="AG216" s="277"/>
      <c r="AH216" s="277"/>
      <c r="AI216" s="277"/>
      <c r="AJ216" s="277"/>
      <c r="AK216" s="277"/>
      <c r="AL216" s="277"/>
      <c r="AM216" s="277"/>
      <c r="AN216" s="277"/>
      <c r="AO216" s="277"/>
      <c r="AP216" s="277"/>
      <c r="AQ216" s="277"/>
      <c r="AR216" s="277"/>
      <c r="AS216" s="277"/>
      <c r="AT216" s="277"/>
      <c r="AU216" s="277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</row>
    <row r="217" spans="1:256" s="41" customFormat="1" ht="13.5" customHeight="1">
      <c r="A217" s="88">
        <v>42</v>
      </c>
      <c r="B217" s="89" t="s">
        <v>45</v>
      </c>
      <c r="C217" s="109">
        <v>978059541</v>
      </c>
      <c r="D217" s="110" t="s">
        <v>65</v>
      </c>
      <c r="E217" s="111" t="s">
        <v>36</v>
      </c>
      <c r="F217" s="129">
        <f>SUM(F218:F223)</f>
        <v>487.11999999999995</v>
      </c>
      <c r="G217" s="130"/>
      <c r="H217" s="94">
        <f>F217*G217</f>
        <v>0</v>
      </c>
      <c r="I217" s="74" t="s">
        <v>37</v>
      </c>
      <c r="J217" s="235"/>
      <c r="P217" s="131"/>
      <c r="Q217" s="132"/>
      <c r="R217" s="133"/>
      <c r="S217" s="132"/>
    </row>
    <row r="218" spans="1:256" s="41" customFormat="1" ht="13.5" customHeight="1">
      <c r="A218" s="88"/>
      <c r="B218" s="91"/>
      <c r="C218" s="109"/>
      <c r="D218" s="124" t="s">
        <v>241</v>
      </c>
      <c r="E218" s="111"/>
      <c r="F218" s="98">
        <f>6.39+32.59</f>
        <v>38.980000000000004</v>
      </c>
      <c r="G218" s="130"/>
      <c r="H218" s="94"/>
      <c r="I218" s="74"/>
      <c r="J218" s="337"/>
      <c r="P218" s="62"/>
      <c r="Q218" s="132"/>
      <c r="R218" s="133"/>
      <c r="S218" s="132"/>
    </row>
    <row r="219" spans="1:256" s="41" customFormat="1" ht="13.5" customHeight="1">
      <c r="A219" s="88"/>
      <c r="B219" s="91"/>
      <c r="C219" s="109"/>
      <c r="D219" s="124" t="s">
        <v>242</v>
      </c>
      <c r="E219" s="111"/>
      <c r="F219" s="98">
        <f>45.1+73.87</f>
        <v>118.97</v>
      </c>
      <c r="G219" s="130"/>
      <c r="H219" s="94"/>
      <c r="I219" s="74"/>
      <c r="J219" s="337"/>
      <c r="P219" s="62"/>
      <c r="Q219" s="132"/>
      <c r="R219" s="133"/>
      <c r="S219" s="132"/>
    </row>
    <row r="220" spans="1:256" s="41" customFormat="1" ht="13.5" customHeight="1">
      <c r="A220" s="88"/>
      <c r="B220" s="91"/>
      <c r="C220" s="109"/>
      <c r="D220" s="124" t="s">
        <v>243</v>
      </c>
      <c r="E220" s="111"/>
      <c r="F220" s="98">
        <f>44.4+72.2</f>
        <v>116.6</v>
      </c>
      <c r="G220" s="130"/>
      <c r="H220" s="94"/>
      <c r="I220" s="74"/>
      <c r="J220" s="337"/>
      <c r="P220" s="62"/>
      <c r="Q220" s="132"/>
      <c r="R220" s="133"/>
      <c r="S220" s="132"/>
    </row>
    <row r="221" spans="1:256" s="41" customFormat="1" ht="13.5" customHeight="1">
      <c r="A221" s="88"/>
      <c r="B221" s="91"/>
      <c r="C221" s="109"/>
      <c r="D221" s="124" t="s">
        <v>244</v>
      </c>
      <c r="E221" s="111"/>
      <c r="F221" s="98">
        <f>53.72+72.21</f>
        <v>125.92999999999999</v>
      </c>
      <c r="G221" s="130"/>
      <c r="H221" s="94"/>
      <c r="I221" s="74"/>
      <c r="J221" s="337"/>
      <c r="P221" s="62"/>
      <c r="Q221" s="132"/>
      <c r="R221" s="133"/>
      <c r="S221" s="132"/>
    </row>
    <row r="222" spans="1:256" s="41" customFormat="1" ht="13.5" customHeight="1">
      <c r="A222" s="88"/>
      <c r="B222" s="91"/>
      <c r="C222" s="109"/>
      <c r="D222" s="124" t="s">
        <v>245</v>
      </c>
      <c r="E222" s="111"/>
      <c r="F222" s="98">
        <f>29.63+35.88</f>
        <v>65.510000000000005</v>
      </c>
      <c r="G222" s="130"/>
      <c r="H222" s="94"/>
      <c r="I222" s="74"/>
      <c r="J222" s="337"/>
      <c r="P222" s="62"/>
      <c r="Q222" s="132"/>
      <c r="R222" s="133"/>
      <c r="S222" s="132"/>
    </row>
    <row r="223" spans="1:256" s="41" customFormat="1" ht="13.5" customHeight="1">
      <c r="A223" s="88"/>
      <c r="B223" s="91"/>
      <c r="C223" s="109"/>
      <c r="D223" s="124" t="s">
        <v>246</v>
      </c>
      <c r="E223" s="111"/>
      <c r="F223" s="98">
        <f>6.6+13.53+(1)</f>
        <v>21.13</v>
      </c>
      <c r="G223" s="130"/>
      <c r="H223" s="94"/>
      <c r="I223" s="74"/>
      <c r="P223" s="62"/>
      <c r="Q223" s="132"/>
      <c r="R223" s="133"/>
      <c r="S223" s="132"/>
    </row>
    <row r="224" spans="1:256" s="13" customFormat="1" ht="27" customHeight="1">
      <c r="A224" s="69">
        <v>43</v>
      </c>
      <c r="B224" s="70" t="s">
        <v>66</v>
      </c>
      <c r="C224" s="71" t="s">
        <v>67</v>
      </c>
      <c r="D224" s="71" t="s">
        <v>247</v>
      </c>
      <c r="E224" s="71" t="s">
        <v>68</v>
      </c>
      <c r="F224" s="105">
        <f>F225</f>
        <v>125.08499999999999</v>
      </c>
      <c r="G224" s="136">
        <f>SUM(H226:H229)/F224</f>
        <v>0</v>
      </c>
      <c r="H224" s="236">
        <f>F224*G224</f>
        <v>0</v>
      </c>
      <c r="I224" s="137" t="s">
        <v>50</v>
      </c>
      <c r="J224" s="291"/>
      <c r="K224" s="281"/>
      <c r="L224" s="277"/>
      <c r="M224" s="277"/>
      <c r="N224" s="277"/>
      <c r="O224" s="277"/>
      <c r="P224" s="277"/>
      <c r="Q224" s="277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  <c r="BK224" s="38"/>
      <c r="BL224" s="38"/>
      <c r="BM224" s="38"/>
      <c r="BN224" s="38"/>
      <c r="BO224" s="38"/>
      <c r="BP224" s="38"/>
      <c r="BQ224" s="38"/>
      <c r="BR224" s="38"/>
      <c r="BS224" s="38"/>
      <c r="BT224" s="38"/>
      <c r="BU224" s="38"/>
      <c r="BV224" s="38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/>
      <c r="GY224" s="3"/>
      <c r="GZ224" s="3"/>
      <c r="HA224" s="3"/>
      <c r="HB224" s="3"/>
      <c r="HC224" s="3"/>
      <c r="HD224" s="3"/>
      <c r="HE224" s="3"/>
      <c r="HF224" s="3"/>
      <c r="HG224" s="3"/>
      <c r="HH224" s="3"/>
      <c r="HI224" s="3"/>
      <c r="HJ224" s="3"/>
      <c r="HK224" s="3"/>
      <c r="HL224" s="3"/>
      <c r="HM224" s="3"/>
      <c r="HN224" s="3"/>
      <c r="HO224" s="3"/>
      <c r="HP224" s="3"/>
      <c r="HQ224" s="3"/>
      <c r="HR224" s="3"/>
      <c r="HS224" s="3"/>
      <c r="HT224" s="3"/>
      <c r="HU224" s="3"/>
      <c r="HV224" s="3"/>
      <c r="HW224" s="3"/>
      <c r="HX224" s="3"/>
      <c r="HY224" s="3"/>
      <c r="HZ224" s="3"/>
      <c r="IA224" s="3"/>
      <c r="IB224" s="3"/>
      <c r="IC224" s="3"/>
      <c r="ID224" s="3"/>
      <c r="IE224" s="3"/>
      <c r="IF224" s="3"/>
      <c r="IG224" s="3"/>
      <c r="IH224" s="3"/>
      <c r="II224" s="3"/>
      <c r="IJ224" s="3"/>
      <c r="IK224" s="3"/>
      <c r="IL224" s="3"/>
      <c r="IM224" s="3"/>
      <c r="IN224" s="3"/>
      <c r="IO224" s="3"/>
      <c r="IP224" s="3"/>
      <c r="IQ224" s="3"/>
      <c r="IR224" s="3"/>
      <c r="IS224" s="3"/>
      <c r="IT224" s="3"/>
      <c r="IU224" s="3"/>
      <c r="IV224" s="3"/>
    </row>
    <row r="225" spans="1:256" s="13" customFormat="1" ht="13.5" customHeight="1">
      <c r="A225" s="121"/>
      <c r="B225" s="122"/>
      <c r="C225" s="123"/>
      <c r="D225" s="78" t="s">
        <v>369</v>
      </c>
      <c r="E225" s="78"/>
      <c r="F225" s="117">
        <f>125.67-0.045-0.048-0.492</f>
        <v>125.08499999999999</v>
      </c>
      <c r="G225" s="138"/>
      <c r="H225" s="236"/>
      <c r="I225" s="237"/>
      <c r="J225" s="291"/>
      <c r="K225" s="140"/>
      <c r="L225" s="140"/>
      <c r="M225" s="140"/>
      <c r="N225" s="140"/>
      <c r="O225" s="140"/>
      <c r="P225" s="140"/>
      <c r="Q225" s="2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  <c r="AJ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  <c r="BK225" s="38"/>
      <c r="BL225" s="38"/>
      <c r="BM225" s="38"/>
      <c r="BN225" s="38"/>
      <c r="BO225" s="38"/>
      <c r="BP225" s="38"/>
      <c r="BQ225" s="38"/>
      <c r="BR225" s="38"/>
      <c r="BS225" s="38"/>
      <c r="BT225" s="38"/>
      <c r="BU225" s="38"/>
      <c r="BV225" s="38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  <c r="FA225" s="3"/>
      <c r="FB225" s="3"/>
      <c r="FC225" s="3"/>
      <c r="FD225" s="3"/>
      <c r="FE225" s="3"/>
      <c r="FF225" s="3"/>
      <c r="FG225" s="3"/>
      <c r="FH225" s="3"/>
      <c r="FI225" s="3"/>
      <c r="FJ225" s="3"/>
      <c r="FK225" s="3"/>
      <c r="FL225" s="3"/>
      <c r="FM225" s="3"/>
      <c r="FN225" s="3"/>
      <c r="FO225" s="3"/>
      <c r="FP225" s="3"/>
      <c r="FQ225" s="3"/>
      <c r="FR225" s="3"/>
      <c r="FS225" s="3"/>
      <c r="FT225" s="3"/>
      <c r="FU225" s="3"/>
      <c r="FV225" s="3"/>
      <c r="FW225" s="3"/>
      <c r="FX225" s="3"/>
      <c r="FY225" s="3"/>
      <c r="FZ225" s="3"/>
      <c r="GA225" s="3"/>
      <c r="GB225" s="3"/>
      <c r="GC225" s="3"/>
      <c r="GD225" s="3"/>
      <c r="GE225" s="3"/>
      <c r="GF225" s="3"/>
      <c r="GG225" s="3"/>
      <c r="GH225" s="3"/>
      <c r="GI225" s="3"/>
      <c r="GJ225" s="3"/>
      <c r="GK225" s="3"/>
      <c r="GL225" s="3"/>
      <c r="GM225" s="3"/>
      <c r="GN225" s="3"/>
      <c r="GO225" s="3"/>
      <c r="GP225" s="3"/>
      <c r="GQ225" s="3"/>
      <c r="GR225" s="3"/>
      <c r="GS225" s="3"/>
      <c r="GT225" s="3"/>
      <c r="GU225" s="3"/>
      <c r="GV225" s="3"/>
      <c r="GW225" s="3"/>
      <c r="GX225" s="3"/>
      <c r="GY225" s="3"/>
      <c r="GZ225" s="3"/>
      <c r="HA225" s="3"/>
      <c r="HB225" s="3"/>
      <c r="HC225" s="3"/>
      <c r="HD225" s="3"/>
      <c r="HE225" s="3"/>
      <c r="HF225" s="3"/>
      <c r="HG225" s="3"/>
      <c r="HH225" s="3"/>
      <c r="HI225" s="3"/>
      <c r="HJ225" s="3"/>
      <c r="HK225" s="3"/>
      <c r="HL225" s="3"/>
      <c r="HM225" s="3"/>
      <c r="HN225" s="3"/>
      <c r="HO225" s="3"/>
      <c r="HP225" s="3"/>
      <c r="HQ225" s="3"/>
      <c r="HR225" s="3"/>
      <c r="HS225" s="3"/>
      <c r="HT225" s="3"/>
      <c r="HU225" s="3"/>
      <c r="HV225" s="3"/>
      <c r="HW225" s="3"/>
      <c r="HX225" s="3"/>
      <c r="HY225" s="3"/>
      <c r="HZ225" s="3"/>
      <c r="IA225" s="3"/>
      <c r="IB225" s="3"/>
      <c r="IC225" s="3"/>
      <c r="ID225" s="3"/>
      <c r="IE225" s="3"/>
      <c r="IF225" s="3"/>
      <c r="IG225" s="3"/>
      <c r="IH225" s="3"/>
      <c r="II225" s="3"/>
      <c r="IJ225" s="3"/>
      <c r="IK225" s="3"/>
      <c r="IL225" s="3"/>
      <c r="IM225" s="3"/>
      <c r="IN225" s="3"/>
      <c r="IO225" s="3"/>
      <c r="IP225" s="3"/>
      <c r="IQ225" s="3"/>
      <c r="IR225" s="3"/>
      <c r="IS225" s="3"/>
      <c r="IT225" s="3"/>
      <c r="IU225" s="3"/>
      <c r="IV225" s="3"/>
    </row>
    <row r="226" spans="1:256" s="13" customFormat="1" ht="27" customHeight="1">
      <c r="A226" s="141" t="s">
        <v>351</v>
      </c>
      <c r="B226" s="122"/>
      <c r="C226" s="123"/>
      <c r="D226" s="78" t="s">
        <v>248</v>
      </c>
      <c r="E226" s="78" t="s">
        <v>68</v>
      </c>
      <c r="F226" s="117">
        <f>F225</f>
        <v>125.08499999999999</v>
      </c>
      <c r="G226" s="142"/>
      <c r="H226" s="143">
        <f>F226*G226</f>
        <v>0</v>
      </c>
      <c r="I226" s="139"/>
      <c r="J226" s="292"/>
      <c r="K226" s="140"/>
      <c r="L226" s="140"/>
      <c r="M226" s="140"/>
      <c r="N226" s="140"/>
      <c r="O226" s="140"/>
      <c r="P226" s="140"/>
      <c r="Q226" s="238"/>
      <c r="R226" s="277"/>
      <c r="S226" s="277"/>
      <c r="T226" s="277"/>
      <c r="U226" s="277"/>
      <c r="V226" s="277"/>
      <c r="W226" s="277"/>
      <c r="X226" s="277"/>
      <c r="Y226" s="277"/>
      <c r="Z226" s="277"/>
      <c r="AA226" s="277"/>
      <c r="AB226" s="277"/>
      <c r="AC226" s="277"/>
      <c r="AD226" s="277"/>
      <c r="AE226" s="277"/>
      <c r="AF226" s="277"/>
      <c r="AG226" s="277"/>
      <c r="AH226" s="277"/>
      <c r="AI226" s="277"/>
      <c r="AJ226" s="277"/>
      <c r="AK226" s="277"/>
      <c r="AL226" s="277"/>
      <c r="AM226" s="277"/>
      <c r="AN226" s="277"/>
      <c r="AO226" s="277"/>
      <c r="AP226" s="277"/>
      <c r="AQ226" s="277"/>
      <c r="AR226" s="277"/>
      <c r="AS226" s="277"/>
      <c r="AT226" s="277"/>
      <c r="AU226" s="277"/>
      <c r="AV226" s="75"/>
      <c r="AW226" s="75"/>
      <c r="AX226" s="75"/>
      <c r="AY226" s="75"/>
      <c r="AZ226" s="75"/>
      <c r="BA226" s="75"/>
      <c r="BB226" s="75"/>
      <c r="BC226" s="75"/>
      <c r="BD226" s="75"/>
      <c r="BE226" s="75"/>
      <c r="BF226" s="75"/>
      <c r="BG226" s="75"/>
      <c r="BH226" s="75"/>
      <c r="BI226" s="75"/>
      <c r="BJ226" s="75"/>
      <c r="BK226" s="75"/>
      <c r="BL226" s="75"/>
      <c r="BM226" s="75"/>
      <c r="BN226" s="75"/>
      <c r="BO226" s="75"/>
      <c r="BP226" s="75"/>
      <c r="BQ226" s="75"/>
      <c r="BR226" s="75"/>
      <c r="BS226" s="75"/>
      <c r="BT226" s="75"/>
      <c r="BU226" s="75"/>
      <c r="BV226" s="75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  <c r="IU226" s="8"/>
      <c r="IV226" s="8"/>
    </row>
    <row r="227" spans="1:256" s="13" customFormat="1" ht="13.5" customHeight="1">
      <c r="A227" s="141" t="s">
        <v>352</v>
      </c>
      <c r="B227" s="122"/>
      <c r="C227" s="123"/>
      <c r="D227" s="135" t="s">
        <v>69</v>
      </c>
      <c r="E227" s="78" t="s">
        <v>68</v>
      </c>
      <c r="F227" s="117">
        <f>F224</f>
        <v>125.08499999999999</v>
      </c>
      <c r="G227" s="142"/>
      <c r="H227" s="144">
        <f>F227*G227</f>
        <v>0</v>
      </c>
      <c r="I227" s="147"/>
      <c r="J227" s="292"/>
      <c r="K227" s="140"/>
      <c r="L227" s="140"/>
      <c r="M227" s="140"/>
      <c r="N227" s="140"/>
      <c r="O227" s="140"/>
      <c r="P227" s="140"/>
      <c r="Q227" s="2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  <c r="BK227" s="38"/>
      <c r="BL227" s="38"/>
      <c r="BM227" s="38"/>
      <c r="BN227" s="38"/>
      <c r="BO227" s="38"/>
      <c r="BP227" s="38"/>
      <c r="BQ227" s="38"/>
      <c r="BR227" s="38"/>
      <c r="BS227" s="38"/>
      <c r="BT227" s="38"/>
      <c r="BU227" s="38"/>
      <c r="BV227" s="38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  <c r="FC227" s="3"/>
      <c r="FD227" s="3"/>
      <c r="FE227" s="3"/>
      <c r="FF227" s="3"/>
      <c r="FG227" s="3"/>
      <c r="FH227" s="3"/>
      <c r="FI227" s="3"/>
      <c r="FJ227" s="3"/>
      <c r="FK227" s="3"/>
      <c r="FL227" s="3"/>
      <c r="FM227" s="3"/>
      <c r="FN227" s="3"/>
      <c r="FO227" s="3"/>
      <c r="FP227" s="3"/>
      <c r="FQ227" s="3"/>
      <c r="FR227" s="3"/>
      <c r="FS227" s="3"/>
      <c r="FT227" s="3"/>
      <c r="FU227" s="3"/>
      <c r="FV227" s="3"/>
      <c r="FW227" s="3"/>
      <c r="FX227" s="3"/>
      <c r="FY227" s="3"/>
      <c r="FZ227" s="3"/>
      <c r="GA227" s="3"/>
      <c r="GB227" s="3"/>
      <c r="GC227" s="3"/>
      <c r="GD227" s="3"/>
      <c r="GE227" s="3"/>
      <c r="GF227" s="3"/>
      <c r="GG227" s="3"/>
      <c r="GH227" s="3"/>
      <c r="GI227" s="3"/>
      <c r="GJ227" s="3"/>
      <c r="GK227" s="3"/>
      <c r="GL227" s="3"/>
      <c r="GM227" s="3"/>
      <c r="GN227" s="3"/>
      <c r="GO227" s="3"/>
      <c r="GP227" s="3"/>
      <c r="GQ227" s="3"/>
      <c r="GR227" s="3"/>
      <c r="GS227" s="3"/>
      <c r="GT227" s="3"/>
      <c r="GU227" s="3"/>
      <c r="GV227" s="3"/>
      <c r="GW227" s="3"/>
      <c r="GX227" s="3"/>
      <c r="GY227" s="3"/>
      <c r="GZ227" s="3"/>
      <c r="HA227" s="3"/>
      <c r="HB227" s="3"/>
      <c r="HC227" s="3"/>
      <c r="HD227" s="3"/>
      <c r="HE227" s="3"/>
      <c r="HF227" s="3"/>
      <c r="HG227" s="3"/>
      <c r="HH227" s="3"/>
      <c r="HI227" s="3"/>
      <c r="HJ227" s="3"/>
      <c r="HK227" s="3"/>
      <c r="HL227" s="3"/>
      <c r="HM227" s="3"/>
      <c r="HN227" s="3"/>
      <c r="HO227" s="3"/>
      <c r="HP227" s="3"/>
      <c r="HQ227" s="3"/>
      <c r="HR227" s="3"/>
      <c r="HS227" s="3"/>
      <c r="HT227" s="3"/>
      <c r="HU227" s="3"/>
      <c r="HV227" s="3"/>
      <c r="HW227" s="3"/>
      <c r="HX227" s="3"/>
      <c r="HY227" s="3"/>
      <c r="HZ227" s="3"/>
      <c r="IA227" s="3"/>
      <c r="IB227" s="3"/>
      <c r="IC227" s="3"/>
      <c r="ID227" s="3"/>
      <c r="IE227" s="3"/>
      <c r="IF227" s="3"/>
      <c r="IG227" s="3"/>
      <c r="IH227" s="3"/>
      <c r="II227" s="3"/>
      <c r="IJ227" s="3"/>
      <c r="IK227" s="3"/>
      <c r="IL227" s="3"/>
      <c r="IM227" s="3"/>
      <c r="IN227" s="3"/>
      <c r="IO227" s="3"/>
      <c r="IP227" s="3"/>
      <c r="IQ227" s="3"/>
      <c r="IR227" s="3"/>
      <c r="IS227" s="3"/>
      <c r="IT227" s="3"/>
      <c r="IU227" s="3"/>
      <c r="IV227" s="3"/>
    </row>
    <row r="228" spans="1:256" s="13" customFormat="1" ht="27" customHeight="1">
      <c r="A228" s="141" t="s">
        <v>353</v>
      </c>
      <c r="B228" s="122"/>
      <c r="C228" s="123"/>
      <c r="D228" s="135" t="s">
        <v>70</v>
      </c>
      <c r="E228" s="78" t="s">
        <v>68</v>
      </c>
      <c r="F228" s="117">
        <f>9*F225</f>
        <v>1125.7649999999999</v>
      </c>
      <c r="G228" s="142"/>
      <c r="H228" s="144">
        <f>F228*G228</f>
        <v>0</v>
      </c>
      <c r="I228" s="147"/>
      <c r="J228" s="292"/>
      <c r="K228" s="140"/>
      <c r="L228" s="140"/>
      <c r="M228" s="140"/>
      <c r="N228" s="140"/>
      <c r="O228" s="140"/>
      <c r="P228" s="140"/>
      <c r="Q228" s="2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  <c r="BK228" s="38"/>
      <c r="BL228" s="38"/>
      <c r="BM228" s="38"/>
      <c r="BN228" s="38"/>
      <c r="BO228" s="38"/>
      <c r="BP228" s="38"/>
      <c r="BQ228" s="38"/>
      <c r="BR228" s="38"/>
      <c r="BS228" s="38"/>
      <c r="BT228" s="38"/>
      <c r="BU228" s="38"/>
      <c r="BV228" s="38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  <c r="GU228" s="3"/>
      <c r="GV228" s="3"/>
      <c r="GW228" s="3"/>
      <c r="GX228" s="3"/>
      <c r="GY228" s="3"/>
      <c r="GZ228" s="3"/>
      <c r="HA228" s="3"/>
      <c r="HB228" s="3"/>
      <c r="HC228" s="3"/>
      <c r="HD228" s="3"/>
      <c r="HE228" s="3"/>
      <c r="HF228" s="3"/>
      <c r="HG228" s="3"/>
      <c r="HH228" s="3"/>
      <c r="HI228" s="3"/>
      <c r="HJ228" s="3"/>
      <c r="HK228" s="3"/>
      <c r="HL228" s="3"/>
      <c r="HM228" s="3"/>
      <c r="HN228" s="3"/>
      <c r="HO228" s="3"/>
      <c r="HP228" s="3"/>
      <c r="HQ228" s="3"/>
      <c r="HR228" s="3"/>
      <c r="HS228" s="3"/>
      <c r="HT228" s="3"/>
      <c r="HU228" s="3"/>
      <c r="HV228" s="3"/>
      <c r="HW228" s="3"/>
      <c r="HX228" s="3"/>
      <c r="HY228" s="3"/>
      <c r="HZ228" s="3"/>
      <c r="IA228" s="3"/>
      <c r="IB228" s="3"/>
      <c r="IC228" s="3"/>
      <c r="ID228" s="3"/>
      <c r="IE228" s="3"/>
      <c r="IF228" s="3"/>
      <c r="IG228" s="3"/>
      <c r="IH228" s="3"/>
      <c r="II228" s="3"/>
      <c r="IJ228" s="3"/>
      <c r="IK228" s="3"/>
      <c r="IL228" s="3"/>
      <c r="IM228" s="3"/>
      <c r="IN228" s="3"/>
      <c r="IO228" s="3"/>
      <c r="IP228" s="3"/>
      <c r="IQ228" s="3"/>
      <c r="IR228" s="3"/>
      <c r="IS228" s="3"/>
      <c r="IT228" s="3"/>
      <c r="IU228" s="3"/>
      <c r="IV228" s="3"/>
    </row>
    <row r="229" spans="1:256" s="13" customFormat="1" ht="27" customHeight="1">
      <c r="A229" s="141" t="s">
        <v>354</v>
      </c>
      <c r="B229" s="122"/>
      <c r="C229" s="123"/>
      <c r="D229" s="78" t="s">
        <v>71</v>
      </c>
      <c r="E229" s="78" t="s">
        <v>68</v>
      </c>
      <c r="F229" s="117">
        <f>F227</f>
        <v>125.08499999999999</v>
      </c>
      <c r="G229" s="142"/>
      <c r="H229" s="144">
        <f>F229*G229</f>
        <v>0</v>
      </c>
      <c r="I229" s="239"/>
      <c r="J229" s="292"/>
      <c r="K229" s="140"/>
      <c r="L229" s="140"/>
      <c r="M229" s="140"/>
      <c r="N229" s="140"/>
      <c r="O229" s="140"/>
      <c r="P229" s="140"/>
      <c r="Q229" s="2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  <c r="BK229" s="38"/>
      <c r="BL229" s="38"/>
      <c r="BM229" s="38"/>
      <c r="BN229" s="38"/>
      <c r="BO229" s="38"/>
      <c r="BP229" s="38"/>
      <c r="BQ229" s="38"/>
      <c r="BR229" s="38"/>
      <c r="BS229" s="38"/>
      <c r="BT229" s="38"/>
      <c r="BU229" s="38"/>
      <c r="BV229" s="38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/>
      <c r="GY229" s="3"/>
      <c r="GZ229" s="3"/>
      <c r="HA229" s="3"/>
      <c r="HB229" s="3"/>
      <c r="HC229" s="3"/>
      <c r="HD229" s="3"/>
      <c r="HE229" s="3"/>
      <c r="HF229" s="3"/>
      <c r="HG229" s="3"/>
      <c r="HH229" s="3"/>
      <c r="HI229" s="3"/>
      <c r="HJ229" s="3"/>
      <c r="HK229" s="3"/>
      <c r="HL229" s="3"/>
      <c r="HM229" s="3"/>
      <c r="HN229" s="3"/>
      <c r="HO229" s="3"/>
      <c r="HP229" s="3"/>
      <c r="HQ229" s="3"/>
      <c r="HR229" s="3"/>
      <c r="HS229" s="3"/>
      <c r="HT229" s="3"/>
      <c r="HU229" s="3"/>
      <c r="HV229" s="3"/>
      <c r="HW229" s="3"/>
      <c r="HX229" s="3"/>
      <c r="HY229" s="3"/>
      <c r="HZ229" s="3"/>
      <c r="IA229" s="3"/>
      <c r="IB229" s="3"/>
      <c r="IC229" s="3"/>
      <c r="ID229" s="3"/>
      <c r="IE229" s="3"/>
      <c r="IF229" s="3"/>
      <c r="IG229" s="3"/>
      <c r="IH229" s="3"/>
      <c r="II229" s="3"/>
      <c r="IJ229" s="3"/>
      <c r="IK229" s="3"/>
      <c r="IL229" s="3"/>
      <c r="IM229" s="3"/>
      <c r="IN229" s="3"/>
      <c r="IO229" s="3"/>
      <c r="IP229" s="3"/>
      <c r="IQ229" s="3"/>
      <c r="IR229" s="3"/>
      <c r="IS229" s="3"/>
      <c r="IT229" s="3"/>
      <c r="IU229" s="3"/>
      <c r="IV229" s="3"/>
    </row>
    <row r="230" spans="1:256" s="13" customFormat="1" ht="67.5" customHeight="1">
      <c r="A230" s="121"/>
      <c r="B230" s="122"/>
      <c r="C230" s="123"/>
      <c r="D230" s="320" t="s">
        <v>313</v>
      </c>
      <c r="E230" s="78"/>
      <c r="G230" s="138"/>
      <c r="H230" s="236"/>
      <c r="I230" s="237"/>
      <c r="J230" s="292"/>
      <c r="K230" s="140"/>
      <c r="L230" s="140"/>
      <c r="M230" s="140"/>
      <c r="N230" s="140"/>
      <c r="O230" s="140"/>
      <c r="P230" s="140"/>
      <c r="Q230" s="2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  <c r="BK230" s="38"/>
      <c r="BL230" s="38"/>
      <c r="BM230" s="38"/>
      <c r="BN230" s="38"/>
      <c r="BO230" s="38"/>
      <c r="BP230" s="38"/>
      <c r="BQ230" s="38"/>
      <c r="BR230" s="38"/>
      <c r="BS230" s="38"/>
      <c r="BT230" s="38"/>
      <c r="BU230" s="38"/>
      <c r="BV230" s="38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  <c r="GU230" s="3"/>
      <c r="GV230" s="3"/>
      <c r="GW230" s="3"/>
      <c r="GX230" s="3"/>
      <c r="GY230" s="3"/>
      <c r="GZ230" s="3"/>
      <c r="HA230" s="3"/>
      <c r="HB230" s="3"/>
      <c r="HC230" s="3"/>
      <c r="HD230" s="3"/>
      <c r="HE230" s="3"/>
      <c r="HF230" s="3"/>
      <c r="HG230" s="3"/>
      <c r="HH230" s="3"/>
      <c r="HI230" s="3"/>
      <c r="HJ230" s="3"/>
      <c r="HK230" s="3"/>
      <c r="HL230" s="3"/>
      <c r="HM230" s="3"/>
      <c r="HN230" s="3"/>
      <c r="HO230" s="3"/>
      <c r="HP230" s="3"/>
      <c r="HQ230" s="3"/>
      <c r="HR230" s="3"/>
      <c r="HS230" s="3"/>
      <c r="HT230" s="3"/>
      <c r="HU230" s="3"/>
      <c r="HV230" s="3"/>
      <c r="HW230" s="3"/>
      <c r="HX230" s="3"/>
      <c r="HY230" s="3"/>
      <c r="HZ230" s="3"/>
      <c r="IA230" s="3"/>
      <c r="IB230" s="3"/>
      <c r="IC230" s="3"/>
      <c r="ID230" s="3"/>
      <c r="IE230" s="3"/>
      <c r="IF230" s="3"/>
      <c r="IG230" s="3"/>
      <c r="IH230" s="3"/>
      <c r="II230" s="3"/>
      <c r="IJ230" s="3"/>
      <c r="IK230" s="3"/>
      <c r="IL230" s="3"/>
      <c r="IM230" s="3"/>
      <c r="IN230" s="3"/>
      <c r="IO230" s="3"/>
      <c r="IP230" s="3"/>
      <c r="IQ230" s="3"/>
      <c r="IR230" s="3"/>
      <c r="IS230" s="3"/>
      <c r="IT230" s="3"/>
      <c r="IU230" s="3"/>
      <c r="IV230" s="3"/>
    </row>
    <row r="231" spans="1:256" s="13" customFormat="1" ht="13.5" customHeight="1">
      <c r="A231" s="69">
        <v>44</v>
      </c>
      <c r="B231" s="70" t="s">
        <v>66</v>
      </c>
      <c r="C231" s="71" t="s">
        <v>72</v>
      </c>
      <c r="D231" s="71" t="s">
        <v>73</v>
      </c>
      <c r="E231" s="71" t="s">
        <v>68</v>
      </c>
      <c r="F231" s="105">
        <f>SUM(F232)</f>
        <v>0.54</v>
      </c>
      <c r="G231" s="115">
        <f>SUM(H233:H236)/F231</f>
        <v>0</v>
      </c>
      <c r="H231" s="73">
        <f>F231*G231</f>
        <v>0</v>
      </c>
      <c r="I231" s="137" t="s">
        <v>50</v>
      </c>
      <c r="J231" s="293"/>
      <c r="K231" s="277"/>
      <c r="L231" s="277"/>
      <c r="M231" s="277"/>
      <c r="N231" s="277"/>
      <c r="O231" s="277"/>
      <c r="P231" s="277"/>
      <c r="Q231" s="277"/>
      <c r="R231" s="277"/>
      <c r="S231" s="277"/>
      <c r="T231" s="277"/>
      <c r="U231" s="277"/>
      <c r="V231" s="277"/>
      <c r="W231" s="277"/>
      <c r="X231" s="277"/>
      <c r="Y231" s="277"/>
      <c r="Z231" s="277"/>
      <c r="AA231" s="277"/>
      <c r="AB231" s="277"/>
      <c r="AC231" s="277"/>
      <c r="AD231" s="277"/>
      <c r="AE231" s="277"/>
      <c r="AF231" s="277"/>
      <c r="AG231" s="277"/>
      <c r="AH231" s="277"/>
      <c r="AI231" s="277"/>
      <c r="AJ231" s="277"/>
      <c r="AK231" s="277"/>
      <c r="AL231" s="277"/>
      <c r="AM231" s="277"/>
      <c r="AN231" s="277"/>
      <c r="AO231" s="277"/>
      <c r="AP231" s="277"/>
      <c r="AQ231" s="277"/>
      <c r="AR231" s="277"/>
      <c r="AS231" s="277"/>
      <c r="AT231" s="277"/>
      <c r="AU231" s="277"/>
      <c r="AV231" s="75"/>
      <c r="AW231" s="75"/>
      <c r="AX231" s="75"/>
      <c r="AY231" s="75"/>
      <c r="AZ231" s="75"/>
      <c r="BA231" s="75"/>
      <c r="BB231" s="75"/>
      <c r="BC231" s="75"/>
      <c r="BD231" s="75"/>
      <c r="BE231" s="75"/>
      <c r="BF231" s="75"/>
      <c r="BG231" s="75"/>
      <c r="BH231" s="75"/>
      <c r="BI231" s="75"/>
      <c r="BJ231" s="75"/>
      <c r="BK231" s="75"/>
      <c r="BL231" s="75"/>
      <c r="BM231" s="75"/>
      <c r="BN231" s="75"/>
      <c r="BO231" s="75"/>
      <c r="BP231" s="75"/>
      <c r="BQ231" s="75"/>
      <c r="BR231" s="75"/>
      <c r="BS231" s="75"/>
      <c r="BT231" s="75"/>
      <c r="BU231" s="75"/>
      <c r="BV231" s="75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  <c r="IU231" s="8"/>
      <c r="IV231" s="8"/>
    </row>
    <row r="232" spans="1:256" s="13" customFormat="1" ht="13.5" customHeight="1">
      <c r="A232" s="121"/>
      <c r="B232" s="122"/>
      <c r="C232" s="123"/>
      <c r="D232" s="78" t="s">
        <v>321</v>
      </c>
      <c r="E232" s="78"/>
      <c r="F232" s="117">
        <f>0.048+0.492</f>
        <v>0.54</v>
      </c>
      <c r="G232" s="138"/>
      <c r="H232" s="236"/>
      <c r="I232" s="240"/>
      <c r="J232" s="294"/>
      <c r="K232" s="277"/>
      <c r="L232" s="295"/>
      <c r="M232" s="277"/>
      <c r="N232" s="277"/>
      <c r="O232" s="277"/>
      <c r="P232" s="277"/>
      <c r="Q232" s="277"/>
      <c r="R232" s="277"/>
      <c r="S232" s="277"/>
      <c r="T232" s="277"/>
      <c r="U232" s="277"/>
      <c r="V232" s="277"/>
      <c r="W232" s="277"/>
      <c r="X232" s="277"/>
      <c r="Y232" s="277"/>
      <c r="Z232" s="277"/>
      <c r="AA232" s="277"/>
      <c r="AB232" s="277"/>
      <c r="AC232" s="277"/>
      <c r="AD232" s="277"/>
      <c r="AE232" s="277"/>
      <c r="AF232" s="277"/>
      <c r="AG232" s="277"/>
      <c r="AH232" s="277"/>
      <c r="AI232" s="277"/>
      <c r="AJ232" s="277"/>
      <c r="AK232" s="277"/>
      <c r="AL232" s="277"/>
      <c r="AM232" s="277"/>
      <c r="AN232" s="277"/>
      <c r="AO232" s="277"/>
      <c r="AP232" s="277"/>
      <c r="AQ232" s="277"/>
      <c r="AR232" s="277"/>
      <c r="AS232" s="277"/>
      <c r="AT232" s="277"/>
      <c r="AU232" s="277"/>
      <c r="AV232" s="75"/>
      <c r="AW232" s="75"/>
      <c r="AX232" s="75"/>
      <c r="AY232" s="75"/>
      <c r="AZ232" s="75"/>
      <c r="BA232" s="75"/>
      <c r="BB232" s="75"/>
      <c r="BC232" s="75"/>
      <c r="BD232" s="75"/>
      <c r="BE232" s="75"/>
      <c r="BF232" s="75"/>
      <c r="BG232" s="75"/>
      <c r="BH232" s="75"/>
      <c r="BI232" s="75"/>
      <c r="BJ232" s="75"/>
      <c r="BK232" s="75"/>
      <c r="BL232" s="75"/>
      <c r="BM232" s="75"/>
      <c r="BN232" s="75"/>
      <c r="BO232" s="75"/>
      <c r="BP232" s="75"/>
      <c r="BQ232" s="75"/>
      <c r="BR232" s="75"/>
      <c r="BS232" s="75"/>
      <c r="BT232" s="75"/>
      <c r="BU232" s="75"/>
      <c r="BV232" s="75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  <c r="IU232" s="8"/>
      <c r="IV232" s="8"/>
    </row>
    <row r="233" spans="1:256" s="13" customFormat="1" ht="27" customHeight="1">
      <c r="A233" s="141" t="s">
        <v>370</v>
      </c>
      <c r="B233" s="122"/>
      <c r="C233" s="123"/>
      <c r="D233" s="78" t="s">
        <v>248</v>
      </c>
      <c r="E233" s="78" t="s">
        <v>68</v>
      </c>
      <c r="F233" s="117">
        <f>F232</f>
        <v>0.54</v>
      </c>
      <c r="G233" s="142"/>
      <c r="H233" s="143">
        <f>F233*G233</f>
        <v>0</v>
      </c>
      <c r="I233" s="139"/>
      <c r="J233" s="292"/>
      <c r="K233" s="140"/>
      <c r="L233" s="140"/>
      <c r="M233" s="140"/>
      <c r="N233" s="140"/>
      <c r="O233" s="140"/>
      <c r="P233" s="140"/>
      <c r="Q233" s="238"/>
      <c r="R233" s="277"/>
      <c r="S233" s="277"/>
      <c r="T233" s="277"/>
      <c r="U233" s="277"/>
      <c r="V233" s="277"/>
      <c r="W233" s="277"/>
      <c r="X233" s="277"/>
      <c r="Y233" s="277"/>
      <c r="Z233" s="277"/>
      <c r="AA233" s="277"/>
      <c r="AB233" s="277"/>
      <c r="AC233" s="277"/>
      <c r="AD233" s="277"/>
      <c r="AE233" s="277"/>
      <c r="AF233" s="277"/>
      <c r="AG233" s="277"/>
      <c r="AH233" s="277"/>
      <c r="AI233" s="277"/>
      <c r="AJ233" s="277"/>
      <c r="AK233" s="277"/>
      <c r="AL233" s="277"/>
      <c r="AM233" s="277"/>
      <c r="AN233" s="277"/>
      <c r="AO233" s="277"/>
      <c r="AP233" s="277"/>
      <c r="AQ233" s="277"/>
      <c r="AR233" s="277"/>
      <c r="AS233" s="277"/>
      <c r="AT233" s="277"/>
      <c r="AU233" s="277"/>
      <c r="AV233" s="75"/>
      <c r="AW233" s="75"/>
      <c r="AX233" s="75"/>
      <c r="AY233" s="75"/>
      <c r="AZ233" s="75"/>
      <c r="BA233" s="75"/>
      <c r="BB233" s="75"/>
      <c r="BC233" s="75"/>
      <c r="BD233" s="75"/>
      <c r="BE233" s="75"/>
      <c r="BF233" s="75"/>
      <c r="BG233" s="75"/>
      <c r="BH233" s="75"/>
      <c r="BI233" s="75"/>
      <c r="BJ233" s="75"/>
      <c r="BK233" s="75"/>
      <c r="BL233" s="75"/>
      <c r="BM233" s="75"/>
      <c r="BN233" s="75"/>
      <c r="BO233" s="75"/>
      <c r="BP233" s="75"/>
      <c r="BQ233" s="75"/>
      <c r="BR233" s="75"/>
      <c r="BS233" s="75"/>
      <c r="BT233" s="75"/>
      <c r="BU233" s="75"/>
      <c r="BV233" s="75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  <c r="IU233" s="8"/>
      <c r="IV233" s="8"/>
    </row>
    <row r="234" spans="1:256" s="13" customFormat="1" ht="13.5" customHeight="1">
      <c r="A234" s="141" t="s">
        <v>371</v>
      </c>
      <c r="B234" s="122"/>
      <c r="C234" s="123"/>
      <c r="D234" s="135" t="s">
        <v>69</v>
      </c>
      <c r="E234" s="78" t="s">
        <v>68</v>
      </c>
      <c r="F234" s="117">
        <f>F231</f>
        <v>0.54</v>
      </c>
      <c r="G234" s="142"/>
      <c r="H234" s="144">
        <f>F234*G234</f>
        <v>0</v>
      </c>
      <c r="I234" s="145"/>
      <c r="J234" s="292"/>
      <c r="K234" s="140"/>
      <c r="L234" s="140"/>
      <c r="M234" s="140"/>
      <c r="N234" s="140"/>
      <c r="O234" s="140"/>
      <c r="P234" s="140"/>
      <c r="Q234" s="238"/>
      <c r="R234" s="277"/>
      <c r="S234" s="277"/>
      <c r="T234" s="277"/>
      <c r="U234" s="277"/>
      <c r="V234" s="277"/>
      <c r="W234" s="277"/>
      <c r="X234" s="277"/>
      <c r="Y234" s="277"/>
      <c r="Z234" s="277"/>
      <c r="AA234" s="277"/>
      <c r="AB234" s="277"/>
      <c r="AC234" s="277"/>
      <c r="AD234" s="277"/>
      <c r="AE234" s="277"/>
      <c r="AF234" s="277"/>
      <c r="AG234" s="277"/>
      <c r="AH234" s="277"/>
      <c r="AI234" s="277"/>
      <c r="AJ234" s="277"/>
      <c r="AK234" s="277"/>
      <c r="AL234" s="277"/>
      <c r="AM234" s="277"/>
      <c r="AN234" s="277"/>
      <c r="AO234" s="277"/>
      <c r="AP234" s="277"/>
      <c r="AQ234" s="277"/>
      <c r="AR234" s="277"/>
      <c r="AS234" s="277"/>
      <c r="AT234" s="277"/>
      <c r="AU234" s="277"/>
      <c r="AV234" s="75"/>
      <c r="AW234" s="75"/>
      <c r="AX234" s="75"/>
      <c r="AY234" s="75"/>
      <c r="AZ234" s="75"/>
      <c r="BA234" s="75"/>
      <c r="BB234" s="75"/>
      <c r="BC234" s="75"/>
      <c r="BD234" s="75"/>
      <c r="BE234" s="75"/>
      <c r="BF234" s="75"/>
      <c r="BG234" s="75"/>
      <c r="BH234" s="75"/>
      <c r="BI234" s="75"/>
      <c r="BJ234" s="75"/>
      <c r="BK234" s="75"/>
      <c r="BL234" s="75"/>
      <c r="BM234" s="75"/>
      <c r="BN234" s="75"/>
      <c r="BO234" s="75"/>
      <c r="BP234" s="75"/>
      <c r="BQ234" s="75"/>
      <c r="BR234" s="75"/>
      <c r="BS234" s="75"/>
      <c r="BT234" s="75"/>
      <c r="BU234" s="75"/>
      <c r="BV234" s="75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  <c r="IU234" s="8"/>
      <c r="IV234" s="8"/>
    </row>
    <row r="235" spans="1:256" s="13" customFormat="1" ht="27" customHeight="1">
      <c r="A235" s="141" t="s">
        <v>372</v>
      </c>
      <c r="B235" s="122"/>
      <c r="C235" s="123"/>
      <c r="D235" s="135" t="s">
        <v>70</v>
      </c>
      <c r="E235" s="78" t="s">
        <v>68</v>
      </c>
      <c r="F235" s="117">
        <f>9*F232</f>
        <v>4.8600000000000003</v>
      </c>
      <c r="G235" s="142"/>
      <c r="H235" s="144">
        <f>F235*G235</f>
        <v>0</v>
      </c>
      <c r="I235" s="145"/>
      <c r="J235" s="292"/>
      <c r="K235" s="140"/>
      <c r="L235" s="140"/>
      <c r="M235" s="140"/>
      <c r="N235" s="140"/>
      <c r="O235" s="140"/>
      <c r="P235" s="140"/>
      <c r="Q235" s="238"/>
      <c r="R235" s="277"/>
      <c r="S235" s="277"/>
      <c r="T235" s="277"/>
      <c r="U235" s="277"/>
      <c r="V235" s="277"/>
      <c r="W235" s="277"/>
      <c r="X235" s="277"/>
      <c r="Y235" s="277"/>
      <c r="Z235" s="277"/>
      <c r="AA235" s="277"/>
      <c r="AB235" s="277"/>
      <c r="AC235" s="277"/>
      <c r="AD235" s="277"/>
      <c r="AE235" s="277"/>
      <c r="AF235" s="277"/>
      <c r="AG235" s="277"/>
      <c r="AH235" s="277"/>
      <c r="AI235" s="277"/>
      <c r="AJ235" s="277"/>
      <c r="AK235" s="277"/>
      <c r="AL235" s="277"/>
      <c r="AM235" s="277"/>
      <c r="AN235" s="277"/>
      <c r="AO235" s="277"/>
      <c r="AP235" s="277"/>
      <c r="AQ235" s="277"/>
      <c r="AR235" s="277"/>
      <c r="AS235" s="277"/>
      <c r="AT235" s="277"/>
      <c r="AU235" s="277"/>
      <c r="AV235" s="75"/>
      <c r="AW235" s="75"/>
      <c r="AX235" s="75"/>
      <c r="AY235" s="75"/>
      <c r="AZ235" s="75"/>
      <c r="BA235" s="75"/>
      <c r="BB235" s="75"/>
      <c r="BC235" s="75"/>
      <c r="BD235" s="75"/>
      <c r="BE235" s="75"/>
      <c r="BF235" s="75"/>
      <c r="BG235" s="75"/>
      <c r="BH235" s="75"/>
      <c r="BI235" s="75"/>
      <c r="BJ235" s="75"/>
      <c r="BK235" s="75"/>
      <c r="BL235" s="75"/>
      <c r="BM235" s="75"/>
      <c r="BN235" s="75"/>
      <c r="BO235" s="75"/>
      <c r="BP235" s="75"/>
      <c r="BQ235" s="75"/>
      <c r="BR235" s="75"/>
      <c r="BS235" s="75"/>
      <c r="BT235" s="75"/>
      <c r="BU235" s="75"/>
      <c r="BV235" s="75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  <c r="IU235" s="8"/>
      <c r="IV235" s="8"/>
    </row>
    <row r="236" spans="1:256" s="13" customFormat="1" ht="27" customHeight="1">
      <c r="A236" s="141" t="s">
        <v>373</v>
      </c>
      <c r="B236" s="122"/>
      <c r="C236" s="123"/>
      <c r="D236" s="78" t="s">
        <v>74</v>
      </c>
      <c r="E236" s="78" t="s">
        <v>68</v>
      </c>
      <c r="F236" s="117">
        <f>F231</f>
        <v>0.54</v>
      </c>
      <c r="G236" s="142"/>
      <c r="H236" s="143">
        <f>F236*G236</f>
        <v>0</v>
      </c>
      <c r="I236" s="118"/>
      <c r="J236" s="292"/>
      <c r="K236" s="140"/>
      <c r="L236" s="140"/>
      <c r="M236" s="140"/>
      <c r="N236" s="140"/>
      <c r="O236" s="140"/>
      <c r="P236" s="140"/>
      <c r="Q236" s="238"/>
      <c r="R236" s="277"/>
      <c r="S236" s="277"/>
      <c r="T236" s="277"/>
      <c r="U236" s="277"/>
      <c r="V236" s="277"/>
      <c r="W236" s="277"/>
      <c r="X236" s="277"/>
      <c r="Y236" s="277"/>
      <c r="Z236" s="277"/>
      <c r="AA236" s="277"/>
      <c r="AB236" s="277"/>
      <c r="AC236" s="277"/>
      <c r="AD236" s="277"/>
      <c r="AE236" s="277"/>
      <c r="AF236" s="277"/>
      <c r="AG236" s="277"/>
      <c r="AH236" s="277"/>
      <c r="AI236" s="277"/>
      <c r="AJ236" s="277"/>
      <c r="AK236" s="277"/>
      <c r="AL236" s="277"/>
      <c r="AM236" s="277"/>
      <c r="AN236" s="277"/>
      <c r="AO236" s="277"/>
      <c r="AP236" s="277"/>
      <c r="AQ236" s="277"/>
      <c r="AR236" s="277"/>
      <c r="AS236" s="277"/>
      <c r="AT236" s="277"/>
      <c r="AU236" s="277"/>
      <c r="AV236" s="75"/>
      <c r="AW236" s="75"/>
      <c r="AX236" s="75"/>
      <c r="AY236" s="75"/>
      <c r="AZ236" s="75"/>
      <c r="BA236" s="75"/>
      <c r="BB236" s="75"/>
      <c r="BC236" s="75"/>
      <c r="BD236" s="75"/>
      <c r="BE236" s="75"/>
      <c r="BF236" s="75"/>
      <c r="BG236" s="75"/>
      <c r="BH236" s="75"/>
      <c r="BI236" s="75"/>
      <c r="BJ236" s="75"/>
      <c r="BK236" s="75"/>
      <c r="BL236" s="75"/>
      <c r="BM236" s="75"/>
      <c r="BN236" s="75"/>
      <c r="BO236" s="75"/>
      <c r="BP236" s="75"/>
      <c r="BQ236" s="75"/>
      <c r="BR236" s="75"/>
      <c r="BS236" s="75"/>
      <c r="BT236" s="75"/>
      <c r="BU236" s="75"/>
      <c r="BV236" s="75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  <c r="IU236" s="8"/>
      <c r="IV236" s="8"/>
    </row>
    <row r="237" spans="1:256" s="13" customFormat="1" ht="67.5" customHeight="1">
      <c r="A237" s="121"/>
      <c r="B237" s="122"/>
      <c r="C237" s="123"/>
      <c r="D237" s="320" t="s">
        <v>313</v>
      </c>
      <c r="E237" s="78"/>
      <c r="F237" s="117"/>
      <c r="G237" s="146"/>
      <c r="H237" s="73"/>
      <c r="I237" s="118"/>
      <c r="J237" s="296"/>
      <c r="K237" s="297"/>
      <c r="L237" s="295"/>
      <c r="M237" s="277"/>
      <c r="N237" s="277"/>
      <c r="O237" s="277"/>
      <c r="P237" s="277"/>
      <c r="Q237" s="277"/>
      <c r="R237" s="277"/>
      <c r="S237" s="277"/>
      <c r="T237" s="277"/>
      <c r="U237" s="277"/>
      <c r="V237" s="277"/>
      <c r="W237" s="277"/>
      <c r="X237" s="277"/>
      <c r="Y237" s="277"/>
      <c r="Z237" s="277"/>
      <c r="AA237" s="277"/>
      <c r="AB237" s="277"/>
      <c r="AC237" s="277"/>
      <c r="AD237" s="277"/>
      <c r="AE237" s="277"/>
      <c r="AF237" s="277"/>
      <c r="AG237" s="277"/>
      <c r="AH237" s="277"/>
      <c r="AI237" s="277"/>
      <c r="AJ237" s="277"/>
      <c r="AK237" s="277"/>
      <c r="AL237" s="277"/>
      <c r="AM237" s="277"/>
      <c r="AN237" s="277"/>
      <c r="AO237" s="277"/>
      <c r="AP237" s="277"/>
      <c r="AQ237" s="277"/>
      <c r="AR237" s="277"/>
      <c r="AS237" s="277"/>
      <c r="AT237" s="277"/>
      <c r="AU237" s="277"/>
      <c r="AV237" s="75"/>
      <c r="AW237" s="75"/>
      <c r="AX237" s="75"/>
      <c r="AY237" s="75"/>
      <c r="AZ237" s="75"/>
      <c r="BA237" s="75"/>
      <c r="BB237" s="75"/>
      <c r="BC237" s="75"/>
      <c r="BD237" s="75"/>
      <c r="BE237" s="75"/>
      <c r="BF237" s="75"/>
      <c r="BG237" s="75"/>
      <c r="BH237" s="75"/>
      <c r="BI237" s="75"/>
      <c r="BJ237" s="75"/>
      <c r="BK237" s="75"/>
      <c r="BL237" s="75"/>
      <c r="BM237" s="75"/>
      <c r="BN237" s="75"/>
      <c r="BO237" s="75"/>
      <c r="BP237" s="75"/>
      <c r="BQ237" s="75"/>
      <c r="BR237" s="75"/>
      <c r="BS237" s="75"/>
      <c r="BT237" s="75"/>
      <c r="BU237" s="75"/>
      <c r="BV237" s="75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  <c r="IU237" s="8"/>
      <c r="IV237" s="8"/>
    </row>
    <row r="238" spans="1:256" s="13" customFormat="1" ht="13.5" customHeight="1">
      <c r="A238" s="69">
        <v>45</v>
      </c>
      <c r="B238" s="89" t="s">
        <v>66</v>
      </c>
      <c r="C238" s="91" t="s">
        <v>249</v>
      </c>
      <c r="D238" s="71" t="s">
        <v>250</v>
      </c>
      <c r="E238" s="71" t="s">
        <v>68</v>
      </c>
      <c r="F238" s="105">
        <f>F239</f>
        <v>4.4999999999999998E-2</v>
      </c>
      <c r="G238" s="136">
        <f>SUM(H240:H243)/F238</f>
        <v>0</v>
      </c>
      <c r="H238" s="73">
        <f>F238*G238</f>
        <v>0</v>
      </c>
      <c r="I238" s="106" t="s">
        <v>50</v>
      </c>
      <c r="J238" s="298"/>
      <c r="K238" s="277"/>
      <c r="L238" s="277"/>
      <c r="M238" s="277"/>
      <c r="N238" s="277"/>
      <c r="O238" s="277"/>
      <c r="P238" s="277"/>
      <c r="Q238" s="277"/>
      <c r="R238" s="277"/>
      <c r="S238" s="277"/>
      <c r="T238" s="277"/>
      <c r="U238" s="277"/>
      <c r="V238" s="277"/>
      <c r="W238" s="277"/>
      <c r="X238" s="277"/>
      <c r="Y238" s="277"/>
      <c r="Z238" s="277"/>
      <c r="AA238" s="277"/>
      <c r="AB238" s="277"/>
      <c r="AC238" s="277"/>
      <c r="AD238" s="277"/>
      <c r="AE238" s="277"/>
      <c r="AF238" s="277"/>
      <c r="AG238" s="277"/>
      <c r="AH238" s="277"/>
      <c r="AI238" s="277"/>
      <c r="AJ238" s="277"/>
      <c r="AK238" s="277"/>
      <c r="AL238" s="277"/>
      <c r="AM238" s="277"/>
      <c r="AN238" s="277"/>
      <c r="AO238" s="277"/>
      <c r="AP238" s="277"/>
      <c r="AQ238" s="277"/>
      <c r="AR238" s="277"/>
      <c r="AS238" s="277"/>
      <c r="AT238" s="277"/>
      <c r="AU238" s="277"/>
      <c r="AV238" s="75"/>
      <c r="AW238" s="75"/>
      <c r="AX238" s="75"/>
      <c r="AY238" s="75"/>
      <c r="AZ238" s="75"/>
      <c r="BA238" s="75"/>
      <c r="BB238" s="75"/>
      <c r="BC238" s="75"/>
      <c r="BD238" s="75"/>
      <c r="BE238" s="75"/>
      <c r="BF238" s="75"/>
      <c r="BG238" s="75"/>
      <c r="BH238" s="75"/>
      <c r="BI238" s="75"/>
      <c r="BJ238" s="75"/>
      <c r="BK238" s="75"/>
      <c r="BL238" s="75"/>
      <c r="BM238" s="75"/>
      <c r="BN238" s="75"/>
      <c r="BO238" s="75"/>
      <c r="BP238" s="75"/>
      <c r="BQ238" s="75"/>
      <c r="BR238" s="75"/>
      <c r="BS238" s="75"/>
      <c r="BT238" s="75"/>
      <c r="BU238" s="75"/>
      <c r="BV238" s="75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  <c r="IU238" s="8"/>
      <c r="IV238" s="8"/>
    </row>
    <row r="239" spans="1:256" s="13" customFormat="1" ht="13.5" customHeight="1">
      <c r="A239" s="121"/>
      <c r="B239" s="122"/>
      <c r="C239" s="123"/>
      <c r="D239" s="78" t="s">
        <v>320</v>
      </c>
      <c r="E239" s="78"/>
      <c r="F239" s="117">
        <f>0.045</f>
        <v>4.4999999999999998E-2</v>
      </c>
      <c r="G239" s="138"/>
      <c r="H239" s="236"/>
      <c r="I239" s="240"/>
      <c r="J239" s="281"/>
      <c r="K239" s="277"/>
      <c r="L239" s="277"/>
      <c r="M239" s="277"/>
      <c r="N239" s="277"/>
      <c r="O239" s="277"/>
      <c r="P239" s="277"/>
      <c r="Q239" s="277"/>
      <c r="R239" s="277"/>
      <c r="S239" s="277"/>
      <c r="T239" s="277"/>
      <c r="U239" s="277"/>
      <c r="V239" s="277"/>
      <c r="W239" s="277"/>
      <c r="X239" s="277"/>
      <c r="Y239" s="277"/>
      <c r="Z239" s="277"/>
      <c r="AA239" s="277"/>
      <c r="AB239" s="277"/>
      <c r="AC239" s="277"/>
      <c r="AD239" s="277"/>
      <c r="AE239" s="277"/>
      <c r="AF239" s="277"/>
      <c r="AG239" s="277"/>
      <c r="AH239" s="277"/>
      <c r="AI239" s="277"/>
      <c r="AJ239" s="277"/>
      <c r="AK239" s="277"/>
      <c r="AL239" s="277"/>
      <c r="AM239" s="277"/>
      <c r="AN239" s="277"/>
      <c r="AO239" s="277"/>
      <c r="AP239" s="277"/>
      <c r="AQ239" s="277"/>
      <c r="AR239" s="277"/>
      <c r="AS239" s="277"/>
      <c r="AT239" s="277"/>
      <c r="AU239" s="277"/>
      <c r="AV239" s="75"/>
      <c r="AW239" s="75"/>
      <c r="AX239" s="75"/>
      <c r="AY239" s="75"/>
      <c r="AZ239" s="75"/>
      <c r="BA239" s="75"/>
      <c r="BB239" s="75"/>
      <c r="BC239" s="75"/>
      <c r="BD239" s="75"/>
      <c r="BE239" s="75"/>
      <c r="BF239" s="75"/>
      <c r="BG239" s="75"/>
      <c r="BH239" s="75"/>
      <c r="BI239" s="75"/>
      <c r="BJ239" s="75"/>
      <c r="BK239" s="75"/>
      <c r="BL239" s="75"/>
      <c r="BM239" s="75"/>
      <c r="BN239" s="75"/>
      <c r="BO239" s="75"/>
      <c r="BP239" s="75"/>
      <c r="BQ239" s="75"/>
      <c r="BR239" s="75"/>
      <c r="BS239" s="75"/>
      <c r="BT239" s="75"/>
      <c r="BU239" s="75"/>
      <c r="BV239" s="75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  <c r="IU239" s="8"/>
      <c r="IV239" s="8"/>
    </row>
    <row r="240" spans="1:256" s="13" customFormat="1" ht="27" customHeight="1">
      <c r="A240" s="141" t="s">
        <v>374</v>
      </c>
      <c r="B240" s="122"/>
      <c r="C240" s="123"/>
      <c r="D240" s="78" t="s">
        <v>248</v>
      </c>
      <c r="E240" s="78" t="s">
        <v>68</v>
      </c>
      <c r="F240" s="117">
        <f>F238</f>
        <v>4.4999999999999998E-2</v>
      </c>
      <c r="G240" s="142"/>
      <c r="H240" s="143">
        <f>F240*G240</f>
        <v>0</v>
      </c>
      <c r="I240" s="139"/>
      <c r="J240" s="292"/>
      <c r="K240" s="140"/>
      <c r="L240" s="140"/>
      <c r="M240" s="140"/>
      <c r="N240" s="140"/>
      <c r="O240" s="140"/>
      <c r="P240" s="140"/>
      <c r="Q240" s="238"/>
      <c r="R240" s="277"/>
      <c r="S240" s="277"/>
      <c r="T240" s="277"/>
      <c r="U240" s="277"/>
      <c r="V240" s="277"/>
      <c r="W240" s="277"/>
      <c r="X240" s="277"/>
      <c r="Y240" s="277"/>
      <c r="Z240" s="277"/>
      <c r="AA240" s="277"/>
      <c r="AB240" s="277"/>
      <c r="AC240" s="277"/>
      <c r="AD240" s="277"/>
      <c r="AE240" s="277"/>
      <c r="AF240" s="277"/>
      <c r="AG240" s="277"/>
      <c r="AH240" s="277"/>
      <c r="AI240" s="277"/>
      <c r="AJ240" s="277"/>
      <c r="AK240" s="277"/>
      <c r="AL240" s="277"/>
      <c r="AM240" s="277"/>
      <c r="AN240" s="277"/>
      <c r="AO240" s="277"/>
      <c r="AP240" s="277"/>
      <c r="AQ240" s="277"/>
      <c r="AR240" s="277"/>
      <c r="AS240" s="277"/>
      <c r="AT240" s="277"/>
      <c r="AU240" s="277"/>
      <c r="AV240" s="75"/>
      <c r="AW240" s="75"/>
      <c r="AX240" s="75"/>
      <c r="AY240" s="75"/>
      <c r="AZ240" s="75"/>
      <c r="BA240" s="75"/>
      <c r="BB240" s="75"/>
      <c r="BC240" s="75"/>
      <c r="BD240" s="75"/>
      <c r="BE240" s="75"/>
      <c r="BF240" s="75"/>
      <c r="BG240" s="75"/>
      <c r="BH240" s="75"/>
      <c r="BI240" s="75"/>
      <c r="BJ240" s="75"/>
      <c r="BK240" s="75"/>
      <c r="BL240" s="75"/>
      <c r="BM240" s="75"/>
      <c r="BN240" s="75"/>
      <c r="BO240" s="75"/>
      <c r="BP240" s="75"/>
      <c r="BQ240" s="75"/>
      <c r="BR240" s="75"/>
      <c r="BS240" s="75"/>
      <c r="BT240" s="75"/>
      <c r="BU240" s="75"/>
      <c r="BV240" s="75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  <c r="IU240" s="8"/>
      <c r="IV240" s="8"/>
    </row>
    <row r="241" spans="1:256" s="13" customFormat="1" ht="13.5" customHeight="1">
      <c r="A241" s="141" t="s">
        <v>375</v>
      </c>
      <c r="B241" s="122"/>
      <c r="C241" s="123"/>
      <c r="D241" s="135" t="s">
        <v>69</v>
      </c>
      <c r="E241" s="78" t="s">
        <v>68</v>
      </c>
      <c r="F241" s="117">
        <f>F238</f>
        <v>4.4999999999999998E-2</v>
      </c>
      <c r="G241" s="142"/>
      <c r="H241" s="144">
        <f>F241*G241</f>
        <v>0</v>
      </c>
      <c r="I241" s="145"/>
      <c r="J241" s="292"/>
      <c r="K241" s="140"/>
      <c r="L241" s="140"/>
      <c r="M241" s="140"/>
      <c r="N241" s="140"/>
      <c r="O241" s="140"/>
      <c r="P241" s="140"/>
      <c r="Q241" s="238"/>
      <c r="R241" s="277"/>
      <c r="S241" s="277"/>
      <c r="T241" s="277"/>
      <c r="U241" s="277"/>
      <c r="V241" s="277"/>
      <c r="W241" s="277"/>
      <c r="X241" s="277"/>
      <c r="Y241" s="277"/>
      <c r="Z241" s="277"/>
      <c r="AA241" s="277"/>
      <c r="AB241" s="277"/>
      <c r="AC241" s="277"/>
      <c r="AD241" s="277"/>
      <c r="AE241" s="277"/>
      <c r="AF241" s="277"/>
      <c r="AG241" s="277"/>
      <c r="AH241" s="277"/>
      <c r="AI241" s="277"/>
      <c r="AJ241" s="277"/>
      <c r="AK241" s="277"/>
      <c r="AL241" s="277"/>
      <c r="AM241" s="277"/>
      <c r="AN241" s="277"/>
      <c r="AO241" s="277"/>
      <c r="AP241" s="277"/>
      <c r="AQ241" s="277"/>
      <c r="AR241" s="277"/>
      <c r="AS241" s="277"/>
      <c r="AT241" s="277"/>
      <c r="AU241" s="277"/>
      <c r="AV241" s="75"/>
      <c r="AW241" s="75"/>
      <c r="AX241" s="75"/>
      <c r="AY241" s="75"/>
      <c r="AZ241" s="75"/>
      <c r="BA241" s="75"/>
      <c r="BB241" s="75"/>
      <c r="BC241" s="75"/>
      <c r="BD241" s="75"/>
      <c r="BE241" s="75"/>
      <c r="BF241" s="75"/>
      <c r="BG241" s="75"/>
      <c r="BH241" s="75"/>
      <c r="BI241" s="75"/>
      <c r="BJ241" s="75"/>
      <c r="BK241" s="75"/>
      <c r="BL241" s="75"/>
      <c r="BM241" s="75"/>
      <c r="BN241" s="75"/>
      <c r="BO241" s="75"/>
      <c r="BP241" s="75"/>
      <c r="BQ241" s="75"/>
      <c r="BR241" s="75"/>
      <c r="BS241" s="75"/>
      <c r="BT241" s="75"/>
      <c r="BU241" s="75"/>
      <c r="BV241" s="75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  <c r="IU241" s="8"/>
      <c r="IV241" s="8"/>
    </row>
    <row r="242" spans="1:256" s="13" customFormat="1" ht="27" customHeight="1">
      <c r="A242" s="141" t="s">
        <v>376</v>
      </c>
      <c r="B242" s="122"/>
      <c r="C242" s="123"/>
      <c r="D242" s="135" t="s">
        <v>70</v>
      </c>
      <c r="E242" s="78" t="s">
        <v>68</v>
      </c>
      <c r="F242" s="117">
        <f>9*F238</f>
        <v>0.40499999999999997</v>
      </c>
      <c r="G242" s="142"/>
      <c r="H242" s="144">
        <f>F242*G242</f>
        <v>0</v>
      </c>
      <c r="I242" s="145"/>
      <c r="J242" s="292"/>
      <c r="K242" s="140"/>
      <c r="L242" s="140"/>
      <c r="M242" s="140"/>
      <c r="N242" s="140"/>
      <c r="O242" s="140"/>
      <c r="P242" s="140"/>
      <c r="Q242" s="238"/>
      <c r="R242" s="277"/>
      <c r="S242" s="277"/>
      <c r="T242" s="277"/>
      <c r="U242" s="277"/>
      <c r="V242" s="277"/>
      <c r="W242" s="277"/>
      <c r="X242" s="277"/>
      <c r="Y242" s="277"/>
      <c r="Z242" s="277"/>
      <c r="AA242" s="277"/>
      <c r="AB242" s="277"/>
      <c r="AC242" s="277"/>
      <c r="AD242" s="277"/>
      <c r="AE242" s="277"/>
      <c r="AF242" s="277"/>
      <c r="AG242" s="277"/>
      <c r="AH242" s="277"/>
      <c r="AI242" s="277"/>
      <c r="AJ242" s="277"/>
      <c r="AK242" s="277"/>
      <c r="AL242" s="277"/>
      <c r="AM242" s="277"/>
      <c r="AN242" s="277"/>
      <c r="AO242" s="277"/>
      <c r="AP242" s="277"/>
      <c r="AQ242" s="277"/>
      <c r="AR242" s="277"/>
      <c r="AS242" s="277"/>
      <c r="AT242" s="277"/>
      <c r="AU242" s="277"/>
      <c r="AV242" s="75"/>
      <c r="AW242" s="75"/>
      <c r="AX242" s="75"/>
      <c r="AY242" s="75"/>
      <c r="AZ242" s="75"/>
      <c r="BA242" s="75"/>
      <c r="BB242" s="75"/>
      <c r="BC242" s="75"/>
      <c r="BD242" s="75"/>
      <c r="BE242" s="75"/>
      <c r="BF242" s="75"/>
      <c r="BG242" s="75"/>
      <c r="BH242" s="75"/>
      <c r="BI242" s="75"/>
      <c r="BJ242" s="75"/>
      <c r="BK242" s="75"/>
      <c r="BL242" s="75"/>
      <c r="BM242" s="75"/>
      <c r="BN242" s="75"/>
      <c r="BO242" s="75"/>
      <c r="BP242" s="75"/>
      <c r="BQ242" s="75"/>
      <c r="BR242" s="75"/>
      <c r="BS242" s="75"/>
      <c r="BT242" s="75"/>
      <c r="BU242" s="75"/>
      <c r="BV242" s="75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  <c r="EM242" s="8"/>
      <c r="EN242" s="8"/>
      <c r="EO242" s="8"/>
      <c r="EP242" s="8"/>
      <c r="EQ242" s="8"/>
      <c r="ER242" s="8"/>
      <c r="ES242" s="8"/>
      <c r="ET242" s="8"/>
      <c r="EU242" s="8"/>
      <c r="EV242" s="8"/>
      <c r="EW242" s="8"/>
      <c r="EX242" s="8"/>
      <c r="EY242" s="8"/>
      <c r="EZ242" s="8"/>
      <c r="FA242" s="8"/>
      <c r="FB242" s="8"/>
      <c r="FC242" s="8"/>
      <c r="FD242" s="8"/>
      <c r="FE242" s="8"/>
      <c r="FF242" s="8"/>
      <c r="FG242" s="8"/>
      <c r="FH242" s="8"/>
      <c r="FI242" s="8"/>
      <c r="FJ242" s="8"/>
      <c r="FK242" s="8"/>
      <c r="FL242" s="8"/>
      <c r="FM242" s="8"/>
      <c r="FN242" s="8"/>
      <c r="FO242" s="8"/>
      <c r="FP242" s="8"/>
      <c r="FQ242" s="8"/>
      <c r="FR242" s="8"/>
      <c r="FS242" s="8"/>
      <c r="FT242" s="8"/>
      <c r="FU242" s="8"/>
      <c r="FV242" s="8"/>
      <c r="FW242" s="8"/>
      <c r="FX242" s="8"/>
      <c r="FY242" s="8"/>
      <c r="FZ242" s="8"/>
      <c r="GA242" s="8"/>
      <c r="GB242" s="8"/>
      <c r="GC242" s="8"/>
      <c r="GD242" s="8"/>
      <c r="GE242" s="8"/>
      <c r="GF242" s="8"/>
      <c r="GG242" s="8"/>
      <c r="GH242" s="8"/>
      <c r="GI242" s="8"/>
      <c r="GJ242" s="8"/>
      <c r="GK242" s="8"/>
      <c r="GL242" s="8"/>
      <c r="GM242" s="8"/>
      <c r="GN242" s="8"/>
      <c r="GO242" s="8"/>
      <c r="GP242" s="8"/>
      <c r="GQ242" s="8"/>
      <c r="GR242" s="8"/>
      <c r="GS242" s="8"/>
      <c r="GT242" s="8"/>
      <c r="GU242" s="8"/>
      <c r="GV242" s="8"/>
      <c r="GW242" s="8"/>
      <c r="GX242" s="8"/>
      <c r="GY242" s="8"/>
      <c r="GZ242" s="8"/>
      <c r="HA242" s="8"/>
      <c r="HB242" s="8"/>
      <c r="HC242" s="8"/>
      <c r="HD242" s="8"/>
      <c r="HE242" s="8"/>
      <c r="HF242" s="8"/>
      <c r="HG242" s="8"/>
      <c r="HH242" s="8"/>
      <c r="HI242" s="8"/>
      <c r="HJ242" s="8"/>
      <c r="HK242" s="8"/>
      <c r="HL242" s="8"/>
      <c r="HM242" s="8"/>
      <c r="HN242" s="8"/>
      <c r="HO242" s="8"/>
      <c r="HP242" s="8"/>
      <c r="HQ242" s="8"/>
      <c r="HR242" s="8"/>
      <c r="HS242" s="8"/>
      <c r="HT242" s="8"/>
      <c r="HU242" s="8"/>
      <c r="HV242" s="8"/>
      <c r="HW242" s="8"/>
      <c r="HX242" s="8"/>
      <c r="HY242" s="8"/>
      <c r="HZ242" s="8"/>
      <c r="IA242" s="8"/>
      <c r="IB242" s="8"/>
      <c r="IC242" s="8"/>
      <c r="ID242" s="8"/>
      <c r="IE242" s="8"/>
      <c r="IF242" s="8"/>
      <c r="IG242" s="8"/>
      <c r="IH242" s="8"/>
      <c r="II242" s="8"/>
      <c r="IJ242" s="8"/>
      <c r="IK242" s="8"/>
      <c r="IL242" s="8"/>
      <c r="IM242" s="8"/>
      <c r="IN242" s="8"/>
      <c r="IO242" s="8"/>
      <c r="IP242" s="8"/>
      <c r="IQ242" s="8"/>
      <c r="IR242" s="8"/>
      <c r="IS242" s="8"/>
      <c r="IT242" s="8"/>
      <c r="IU242" s="8"/>
      <c r="IV242" s="8"/>
    </row>
    <row r="243" spans="1:256" s="251" customFormat="1" ht="13.5" customHeight="1">
      <c r="A243" s="242" t="s">
        <v>377</v>
      </c>
      <c r="B243" s="243"/>
      <c r="C243" s="244"/>
      <c r="D243" s="135" t="s">
        <v>251</v>
      </c>
      <c r="E243" s="245" t="s">
        <v>68</v>
      </c>
      <c r="F243" s="246">
        <f>F238</f>
        <v>4.4999999999999998E-2</v>
      </c>
      <c r="G243" s="247"/>
      <c r="H243" s="248">
        <f>F243*G243</f>
        <v>0</v>
      </c>
      <c r="I243" s="249"/>
      <c r="J243" s="250"/>
      <c r="K243" s="250"/>
      <c r="L243" s="250"/>
      <c r="M243" s="250"/>
      <c r="N243" s="250"/>
      <c r="O243" s="250"/>
      <c r="P243" s="250"/>
      <c r="Q243" s="250"/>
      <c r="R243" s="250"/>
      <c r="S243" s="250"/>
      <c r="T243" s="250"/>
      <c r="U243" s="250"/>
      <c r="V243" s="250"/>
      <c r="W243" s="250"/>
      <c r="X243" s="250"/>
      <c r="Y243" s="250"/>
      <c r="Z243" s="250"/>
      <c r="AA243" s="250"/>
      <c r="AB243" s="250"/>
      <c r="AC243" s="250"/>
      <c r="AD243" s="250"/>
      <c r="AE243" s="250"/>
      <c r="AF243" s="250"/>
      <c r="AG243" s="250"/>
      <c r="AH243" s="250"/>
      <c r="AI243" s="250"/>
      <c r="AJ243" s="250"/>
      <c r="AK243" s="250"/>
      <c r="AL243" s="250"/>
      <c r="AM243" s="250"/>
      <c r="AN243" s="250"/>
      <c r="AO243" s="250"/>
      <c r="AP243" s="250"/>
      <c r="AQ243" s="250"/>
      <c r="AR243" s="250"/>
      <c r="AS243" s="250"/>
      <c r="AT243" s="250"/>
      <c r="AU243" s="250"/>
      <c r="AV243" s="250"/>
      <c r="AW243" s="250"/>
      <c r="AX243" s="250"/>
      <c r="AY243" s="250"/>
      <c r="AZ243" s="250"/>
      <c r="BA243" s="250"/>
      <c r="BB243" s="250"/>
      <c r="BC243" s="250"/>
      <c r="BD243" s="250"/>
      <c r="BE243" s="250"/>
      <c r="BF243" s="250"/>
      <c r="BG243" s="250"/>
      <c r="BH243" s="250"/>
      <c r="BI243" s="250"/>
      <c r="BJ243" s="250"/>
      <c r="BK243" s="250"/>
      <c r="BL243" s="250"/>
      <c r="BM243" s="250"/>
      <c r="BN243" s="250"/>
      <c r="BO243" s="250"/>
      <c r="BP243" s="250"/>
      <c r="BQ243" s="250"/>
      <c r="BR243" s="250"/>
      <c r="BS243" s="250"/>
      <c r="BT243" s="250"/>
      <c r="BU243" s="250"/>
      <c r="BV243" s="250"/>
    </row>
    <row r="244" spans="1:256" s="13" customFormat="1" ht="67.5" customHeight="1">
      <c r="A244" s="121"/>
      <c r="B244" s="122"/>
      <c r="C244" s="123"/>
      <c r="D244" s="320" t="s">
        <v>313</v>
      </c>
      <c r="E244" s="78"/>
      <c r="F244" s="117"/>
      <c r="G244" s="146"/>
      <c r="H244" s="73"/>
      <c r="I244" s="118"/>
      <c r="J244" s="299"/>
      <c r="K244" s="295"/>
      <c r="L244" s="295"/>
      <c r="M244" s="295"/>
      <c r="N244" s="295"/>
      <c r="O244" s="277"/>
      <c r="P244" s="277"/>
      <c r="Q244" s="277"/>
      <c r="R244" s="277"/>
      <c r="S244" s="277"/>
      <c r="T244" s="277"/>
      <c r="U244" s="277"/>
      <c r="V244" s="277"/>
      <c r="W244" s="277"/>
      <c r="X244" s="277"/>
      <c r="Y244" s="277"/>
      <c r="Z244" s="277"/>
      <c r="AA244" s="277"/>
      <c r="AB244" s="277"/>
      <c r="AC244" s="277"/>
      <c r="AD244" s="277"/>
      <c r="AE244" s="277"/>
      <c r="AF244" s="277"/>
      <c r="AG244" s="277"/>
      <c r="AH244" s="277"/>
      <c r="AI244" s="277"/>
      <c r="AJ244" s="277"/>
      <c r="AK244" s="277"/>
      <c r="AL244" s="277"/>
      <c r="AM244" s="277"/>
      <c r="AN244" s="277"/>
      <c r="AO244" s="277"/>
      <c r="AP244" s="277"/>
      <c r="AQ244" s="277"/>
      <c r="AR244" s="277"/>
      <c r="AS244" s="277"/>
      <c r="AT244" s="277"/>
      <c r="AU244" s="277"/>
      <c r="AV244" s="75"/>
      <c r="AW244" s="75"/>
      <c r="AX244" s="75"/>
      <c r="AY244" s="75"/>
      <c r="AZ244" s="75"/>
      <c r="BA244" s="75"/>
      <c r="BB244" s="75"/>
      <c r="BC244" s="75"/>
      <c r="BD244" s="75"/>
      <c r="BE244" s="75"/>
      <c r="BF244" s="75"/>
      <c r="BG244" s="75"/>
      <c r="BH244" s="75"/>
      <c r="BI244" s="75"/>
      <c r="BJ244" s="75"/>
      <c r="BK244" s="75"/>
      <c r="BL244" s="75"/>
      <c r="BM244" s="75"/>
      <c r="BN244" s="75"/>
      <c r="BO244" s="75"/>
      <c r="BP244" s="75"/>
      <c r="BQ244" s="75"/>
      <c r="BR244" s="75"/>
      <c r="BS244" s="75"/>
      <c r="BT244" s="75"/>
      <c r="BU244" s="75"/>
      <c r="BV244" s="75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  <c r="EM244" s="8"/>
      <c r="EN244" s="8"/>
      <c r="EO244" s="8"/>
      <c r="EP244" s="8"/>
      <c r="EQ244" s="8"/>
      <c r="ER244" s="8"/>
      <c r="ES244" s="8"/>
      <c r="ET244" s="8"/>
      <c r="EU244" s="8"/>
      <c r="EV244" s="8"/>
      <c r="EW244" s="8"/>
      <c r="EX244" s="8"/>
      <c r="EY244" s="8"/>
      <c r="EZ244" s="8"/>
      <c r="FA244" s="8"/>
      <c r="FB244" s="8"/>
      <c r="FC244" s="8"/>
      <c r="FD244" s="8"/>
      <c r="FE244" s="8"/>
      <c r="FF244" s="8"/>
      <c r="FG244" s="8"/>
      <c r="FH244" s="8"/>
      <c r="FI244" s="8"/>
      <c r="FJ244" s="8"/>
      <c r="FK244" s="8"/>
      <c r="FL244" s="8"/>
      <c r="FM244" s="8"/>
      <c r="FN244" s="8"/>
      <c r="FO244" s="8"/>
      <c r="FP244" s="8"/>
      <c r="FQ244" s="8"/>
      <c r="FR244" s="8"/>
      <c r="FS244" s="8"/>
      <c r="FT244" s="8"/>
      <c r="FU244" s="8"/>
      <c r="FV244" s="8"/>
      <c r="FW244" s="8"/>
      <c r="FX244" s="8"/>
      <c r="FY244" s="8"/>
      <c r="FZ244" s="8"/>
      <c r="GA244" s="8"/>
      <c r="GB244" s="8"/>
      <c r="GC244" s="8"/>
      <c r="GD244" s="8"/>
      <c r="GE244" s="8"/>
      <c r="GF244" s="8"/>
      <c r="GG244" s="8"/>
      <c r="GH244" s="8"/>
      <c r="GI244" s="8"/>
      <c r="GJ244" s="8"/>
      <c r="GK244" s="8"/>
      <c r="GL244" s="8"/>
      <c r="GM244" s="8"/>
      <c r="GN244" s="8"/>
      <c r="GO244" s="8"/>
      <c r="GP244" s="8"/>
      <c r="GQ244" s="8"/>
      <c r="GR244" s="8"/>
      <c r="GS244" s="8"/>
      <c r="GT244" s="8"/>
      <c r="GU244" s="8"/>
      <c r="GV244" s="8"/>
      <c r="GW244" s="8"/>
      <c r="GX244" s="8"/>
      <c r="GY244" s="8"/>
      <c r="GZ244" s="8"/>
      <c r="HA244" s="8"/>
      <c r="HB244" s="8"/>
      <c r="HC244" s="8"/>
      <c r="HD244" s="8"/>
      <c r="HE244" s="8"/>
      <c r="HF244" s="8"/>
      <c r="HG244" s="8"/>
      <c r="HH244" s="8"/>
      <c r="HI244" s="8"/>
      <c r="HJ244" s="8"/>
      <c r="HK244" s="8"/>
      <c r="HL244" s="8"/>
      <c r="HM244" s="8"/>
      <c r="HN244" s="8"/>
      <c r="HO244" s="8"/>
      <c r="HP244" s="8"/>
      <c r="HQ244" s="8"/>
      <c r="HR244" s="8"/>
      <c r="HS244" s="8"/>
      <c r="HT244" s="8"/>
      <c r="HU244" s="8"/>
      <c r="HV244" s="8"/>
      <c r="HW244" s="8"/>
      <c r="HX244" s="8"/>
      <c r="HY244" s="8"/>
      <c r="HZ244" s="8"/>
      <c r="IA244" s="8"/>
      <c r="IB244" s="8"/>
      <c r="IC244" s="8"/>
      <c r="ID244" s="8"/>
      <c r="IE244" s="8"/>
      <c r="IF244" s="8"/>
      <c r="IG244" s="8"/>
      <c r="IH244" s="8"/>
      <c r="II244" s="8"/>
      <c r="IJ244" s="8"/>
      <c r="IK244" s="8"/>
      <c r="IL244" s="8"/>
      <c r="IM244" s="8"/>
      <c r="IN244" s="8"/>
      <c r="IO244" s="8"/>
      <c r="IP244" s="8"/>
      <c r="IQ244" s="8"/>
      <c r="IR244" s="8"/>
      <c r="IS244" s="8"/>
      <c r="IT244" s="8"/>
      <c r="IU244" s="8"/>
      <c r="IV244" s="8"/>
    </row>
    <row r="245" spans="1:256" s="48" customFormat="1" ht="13.5" customHeight="1">
      <c r="A245" s="148"/>
      <c r="B245" s="149"/>
      <c r="C245" s="149" t="s">
        <v>75</v>
      </c>
      <c r="D245" s="149" t="s">
        <v>10</v>
      </c>
      <c r="E245" s="149"/>
      <c r="F245" s="150"/>
      <c r="G245" s="151"/>
      <c r="H245" s="151">
        <f>SUM(H246:H248)</f>
        <v>0</v>
      </c>
      <c r="I245" s="152"/>
      <c r="J245" s="153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  <c r="AS245" s="41"/>
      <c r="AT245" s="41"/>
      <c r="AU245" s="41"/>
      <c r="AV245" s="41"/>
      <c r="AW245" s="41"/>
      <c r="AX245" s="41"/>
      <c r="AY245" s="41"/>
      <c r="AZ245" s="41"/>
      <c r="BA245" s="41"/>
      <c r="BB245" s="41"/>
      <c r="BC245" s="41"/>
      <c r="BD245" s="41"/>
      <c r="BE245" s="41"/>
      <c r="BF245" s="41"/>
      <c r="BG245" s="41"/>
      <c r="BH245" s="41"/>
      <c r="BI245" s="41"/>
      <c r="BJ245" s="41"/>
      <c r="BK245" s="41"/>
      <c r="BL245" s="41"/>
      <c r="BM245" s="41"/>
      <c r="BN245" s="41"/>
      <c r="BO245" s="41"/>
      <c r="BP245" s="41"/>
      <c r="BQ245" s="41"/>
      <c r="BR245" s="41"/>
      <c r="BS245" s="41"/>
      <c r="BT245" s="41"/>
      <c r="BU245" s="41"/>
      <c r="BV245" s="41"/>
    </row>
    <row r="246" spans="1:256" s="48" customFormat="1" ht="13.5" customHeight="1">
      <c r="A246" s="88">
        <v>46</v>
      </c>
      <c r="B246" s="89" t="s">
        <v>34</v>
      </c>
      <c r="C246" s="91">
        <v>998018003</v>
      </c>
      <c r="D246" s="110" t="s">
        <v>252</v>
      </c>
      <c r="E246" s="111" t="s">
        <v>68</v>
      </c>
      <c r="F246" s="129">
        <v>9.1280000000000001</v>
      </c>
      <c r="G246" s="94"/>
      <c r="H246" s="94">
        <f>F246*G246</f>
        <v>0</v>
      </c>
      <c r="I246" s="74" t="s">
        <v>37</v>
      </c>
      <c r="J246" s="41"/>
      <c r="K246" s="154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41"/>
      <c r="AV246" s="41"/>
      <c r="AW246" s="41"/>
      <c r="AX246" s="41"/>
      <c r="AY246" s="41"/>
      <c r="AZ246" s="41"/>
      <c r="BA246" s="41"/>
      <c r="BB246" s="41"/>
      <c r="BC246" s="41"/>
      <c r="BD246" s="41"/>
      <c r="BE246" s="41"/>
      <c r="BF246" s="41"/>
      <c r="BG246" s="41"/>
      <c r="BH246" s="41"/>
      <c r="BI246" s="41"/>
      <c r="BJ246" s="41"/>
      <c r="BK246" s="41"/>
      <c r="BL246" s="41"/>
      <c r="BM246" s="41"/>
      <c r="BN246" s="41"/>
      <c r="BO246" s="41"/>
      <c r="BP246" s="41"/>
      <c r="BQ246" s="41"/>
      <c r="BR246" s="41"/>
      <c r="BS246" s="41"/>
      <c r="BT246" s="41"/>
      <c r="BU246" s="41"/>
      <c r="BV246" s="41"/>
    </row>
    <row r="247" spans="1:256" s="43" customFormat="1" ht="13.5" customHeight="1">
      <c r="A247" s="88">
        <v>47</v>
      </c>
      <c r="B247" s="91" t="s">
        <v>77</v>
      </c>
      <c r="C247" s="91" t="s">
        <v>78</v>
      </c>
      <c r="D247" s="91" t="s">
        <v>79</v>
      </c>
      <c r="E247" s="91" t="s">
        <v>80</v>
      </c>
      <c r="F247" s="92">
        <f>F248</f>
        <v>20</v>
      </c>
      <c r="G247" s="94"/>
      <c r="H247" s="94">
        <f>F247*G247</f>
        <v>0</v>
      </c>
      <c r="I247" s="74" t="s">
        <v>37</v>
      </c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  <c r="AV247" s="42"/>
      <c r="AW247" s="42"/>
      <c r="AX247" s="42"/>
      <c r="AY247" s="42"/>
      <c r="AZ247" s="42"/>
      <c r="BA247" s="42"/>
      <c r="BB247" s="42"/>
      <c r="BC247" s="42"/>
      <c r="BD247" s="42"/>
      <c r="BE247" s="42"/>
      <c r="BF247" s="42"/>
      <c r="BG247" s="42"/>
      <c r="BH247" s="42"/>
      <c r="BI247" s="42"/>
      <c r="BJ247" s="42"/>
      <c r="BK247" s="42"/>
      <c r="BL247" s="42"/>
      <c r="BM247" s="42"/>
      <c r="BN247" s="42"/>
      <c r="BO247" s="42"/>
      <c r="BP247" s="42"/>
      <c r="BQ247" s="42"/>
      <c r="BR247" s="42"/>
      <c r="BS247" s="42"/>
      <c r="BT247" s="42"/>
      <c r="BU247" s="42"/>
      <c r="BV247" s="42"/>
    </row>
    <row r="248" spans="1:256" s="43" customFormat="1" ht="27" customHeight="1">
      <c r="A248" s="88"/>
      <c r="B248" s="91"/>
      <c r="C248" s="157"/>
      <c r="D248" s="124" t="s">
        <v>81</v>
      </c>
      <c r="E248" s="157"/>
      <c r="F248" s="158">
        <v>20</v>
      </c>
      <c r="G248" s="159"/>
      <c r="H248" s="159"/>
      <c r="I248" s="160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  <c r="BM248" s="42"/>
      <c r="BN248" s="42"/>
      <c r="BO248" s="42"/>
      <c r="BP248" s="42"/>
      <c r="BQ248" s="42"/>
      <c r="BR248" s="42"/>
      <c r="BS248" s="42"/>
      <c r="BT248" s="42"/>
      <c r="BU248" s="42"/>
      <c r="BV248" s="42"/>
    </row>
    <row r="249" spans="1:256" s="41" customFormat="1" ht="21" customHeight="1">
      <c r="A249" s="148"/>
      <c r="B249" s="149"/>
      <c r="C249" s="149" t="s">
        <v>11</v>
      </c>
      <c r="D249" s="149" t="s">
        <v>12</v>
      </c>
      <c r="E249" s="149"/>
      <c r="F249" s="161"/>
      <c r="G249" s="151"/>
      <c r="H249" s="151">
        <f>H250+H259+H299+H340+H347+H332</f>
        <v>0</v>
      </c>
      <c r="I249" s="152"/>
    </row>
    <row r="250" spans="1:256" s="8" customFormat="1" ht="13.5" customHeight="1">
      <c r="A250" s="252"/>
      <c r="B250" s="253"/>
      <c r="C250" s="254">
        <v>721</v>
      </c>
      <c r="D250" s="254" t="s">
        <v>105</v>
      </c>
      <c r="E250" s="255"/>
      <c r="F250" s="170"/>
      <c r="G250" s="256"/>
      <c r="H250" s="257">
        <f>SUM(H251:H258)</f>
        <v>0</v>
      </c>
      <c r="I250" s="258"/>
      <c r="J250" s="277"/>
      <c r="K250" s="277"/>
      <c r="L250" s="277"/>
      <c r="M250" s="277"/>
      <c r="N250" s="277"/>
      <c r="O250" s="277"/>
      <c r="P250" s="277"/>
      <c r="Q250" s="277"/>
      <c r="R250" s="277"/>
      <c r="S250" s="277"/>
      <c r="T250" s="277"/>
      <c r="U250" s="277"/>
      <c r="V250" s="277"/>
      <c r="W250" s="277"/>
      <c r="X250" s="277"/>
      <c r="Y250" s="277"/>
      <c r="Z250" s="277"/>
      <c r="AA250" s="277"/>
      <c r="AB250" s="277"/>
      <c r="AC250" s="277"/>
      <c r="AD250" s="277"/>
      <c r="AE250" s="277"/>
      <c r="AF250" s="277"/>
      <c r="AG250" s="277"/>
      <c r="AH250" s="277"/>
      <c r="AI250" s="277"/>
      <c r="AJ250" s="277"/>
      <c r="AK250" s="277"/>
      <c r="AL250" s="277"/>
      <c r="AM250" s="277"/>
      <c r="AN250" s="277"/>
      <c r="AO250" s="277"/>
      <c r="AP250" s="277"/>
      <c r="AQ250" s="277"/>
      <c r="AR250" s="277"/>
      <c r="AS250" s="277"/>
      <c r="AT250" s="277"/>
      <c r="AU250" s="277"/>
      <c r="AV250" s="75"/>
      <c r="AW250" s="75"/>
      <c r="AX250" s="75"/>
      <c r="AY250" s="75"/>
      <c r="AZ250" s="75"/>
      <c r="BA250" s="75"/>
      <c r="BB250" s="75"/>
      <c r="BC250" s="75"/>
      <c r="BD250" s="75"/>
      <c r="BE250" s="75"/>
      <c r="BF250" s="75"/>
      <c r="BG250" s="75"/>
      <c r="BH250" s="75"/>
      <c r="BI250" s="75"/>
      <c r="BJ250" s="75"/>
      <c r="BK250" s="75"/>
      <c r="BL250" s="75"/>
      <c r="BM250" s="75"/>
      <c r="BN250" s="75"/>
      <c r="BO250" s="75"/>
      <c r="BP250" s="75"/>
      <c r="BQ250" s="75"/>
      <c r="BR250" s="75"/>
      <c r="BS250" s="75"/>
      <c r="BT250" s="75"/>
      <c r="BU250" s="75"/>
      <c r="BV250" s="75"/>
    </row>
    <row r="251" spans="1:256" s="259" customFormat="1" ht="13.5" customHeight="1">
      <c r="A251" s="69">
        <v>48</v>
      </c>
      <c r="B251" s="70" t="s">
        <v>83</v>
      </c>
      <c r="C251" s="71" t="s">
        <v>253</v>
      </c>
      <c r="D251" s="71" t="s">
        <v>254</v>
      </c>
      <c r="E251" s="71" t="s">
        <v>60</v>
      </c>
      <c r="F251" s="105">
        <f>SUM(F252:F257)</f>
        <v>11</v>
      </c>
      <c r="G251" s="73"/>
      <c r="H251" s="73">
        <f>F251*G251</f>
        <v>0</v>
      </c>
      <c r="I251" s="106" t="s">
        <v>50</v>
      </c>
      <c r="J251" s="341"/>
      <c r="K251" s="305"/>
      <c r="L251" s="300"/>
      <c r="M251" s="301"/>
      <c r="N251" s="302"/>
      <c r="O251" s="303"/>
      <c r="P251" s="305"/>
      <c r="Q251" s="305"/>
      <c r="R251" s="304"/>
      <c r="S251" s="304"/>
      <c r="T251" s="304"/>
      <c r="U251" s="304"/>
      <c r="V251" s="304"/>
      <c r="W251" s="304"/>
      <c r="X251" s="304"/>
      <c r="Y251" s="304"/>
      <c r="Z251" s="304"/>
      <c r="AA251" s="304"/>
      <c r="AB251" s="304"/>
      <c r="AC251" s="304"/>
      <c r="AD251" s="304"/>
      <c r="AE251" s="304"/>
      <c r="AF251" s="304"/>
      <c r="AG251" s="304"/>
      <c r="AH251" s="304"/>
      <c r="AI251" s="304"/>
      <c r="AJ251" s="304"/>
      <c r="AK251" s="304"/>
      <c r="AL251" s="304"/>
      <c r="AM251" s="304"/>
      <c r="AN251" s="304"/>
      <c r="AO251" s="304"/>
      <c r="AP251" s="304"/>
      <c r="AQ251" s="304"/>
      <c r="AR251" s="304"/>
      <c r="AS251" s="304"/>
      <c r="AT251" s="304"/>
      <c r="AU251" s="304"/>
    </row>
    <row r="252" spans="1:256" s="8" customFormat="1" ht="13.5" customHeight="1">
      <c r="A252" s="69"/>
      <c r="B252" s="71"/>
      <c r="C252" s="71"/>
      <c r="D252" s="78" t="s">
        <v>255</v>
      </c>
      <c r="E252" s="71"/>
      <c r="F252" s="79">
        <v>2</v>
      </c>
      <c r="G252" s="73"/>
      <c r="H252" s="73"/>
      <c r="I252" s="106"/>
      <c r="J252" s="305"/>
      <c r="K252" s="277"/>
      <c r="L252" s="277"/>
      <c r="M252" s="277"/>
      <c r="N252" s="277"/>
      <c r="O252" s="277"/>
      <c r="P252" s="277"/>
      <c r="Q252" s="277"/>
      <c r="R252" s="277"/>
      <c r="S252" s="277"/>
      <c r="T252" s="277"/>
      <c r="U252" s="277"/>
      <c r="V252" s="277"/>
      <c r="W252" s="277"/>
      <c r="X252" s="277"/>
      <c r="Y252" s="277"/>
      <c r="Z252" s="277"/>
      <c r="AA252" s="277"/>
      <c r="AB252" s="277"/>
      <c r="AC252" s="277"/>
      <c r="AD252" s="277"/>
      <c r="AE252" s="277"/>
      <c r="AF252" s="277"/>
      <c r="AG252" s="277"/>
      <c r="AH252" s="277"/>
      <c r="AI252" s="277"/>
      <c r="AJ252" s="277"/>
      <c r="AK252" s="277"/>
      <c r="AL252" s="277"/>
      <c r="AM252" s="277"/>
      <c r="AN252" s="277"/>
      <c r="AO252" s="277"/>
      <c r="AP252" s="277"/>
      <c r="AQ252" s="277"/>
      <c r="AR252" s="277"/>
      <c r="AS252" s="277"/>
      <c r="AT252" s="277"/>
      <c r="AU252" s="277"/>
      <c r="AV252" s="75"/>
      <c r="AW252" s="75"/>
      <c r="AX252" s="75"/>
      <c r="AY252" s="75"/>
      <c r="AZ252" s="75"/>
      <c r="BA252" s="75"/>
      <c r="BB252" s="75"/>
      <c r="BC252" s="75"/>
      <c r="BD252" s="75"/>
      <c r="BE252" s="75"/>
      <c r="BF252" s="75"/>
      <c r="BG252" s="75"/>
      <c r="BH252" s="75"/>
      <c r="BI252" s="75"/>
      <c r="BJ252" s="75"/>
      <c r="BK252" s="75"/>
      <c r="BL252" s="75"/>
      <c r="BM252" s="75"/>
      <c r="BN252" s="75"/>
      <c r="BO252" s="75"/>
      <c r="BP252" s="75"/>
      <c r="BQ252" s="75"/>
      <c r="BR252" s="75"/>
      <c r="BS252" s="75"/>
      <c r="BT252" s="75"/>
      <c r="BU252" s="75"/>
      <c r="BV252" s="75"/>
    </row>
    <row r="253" spans="1:256" s="8" customFormat="1" ht="13.5" customHeight="1">
      <c r="A253" s="69"/>
      <c r="B253" s="71"/>
      <c r="C253" s="71"/>
      <c r="D253" s="78" t="s">
        <v>256</v>
      </c>
      <c r="E253" s="71"/>
      <c r="F253" s="79">
        <v>2</v>
      </c>
      <c r="G253" s="73"/>
      <c r="H253" s="73"/>
      <c r="I253" s="106"/>
      <c r="J253" s="278"/>
      <c r="K253" s="277"/>
      <c r="L253" s="277"/>
      <c r="M253" s="277"/>
      <c r="N253" s="277"/>
      <c r="O253" s="277"/>
      <c r="P253" s="277"/>
      <c r="Q253" s="277"/>
      <c r="R253" s="277"/>
      <c r="S253" s="277"/>
      <c r="T253" s="277"/>
      <c r="U253" s="277"/>
      <c r="V253" s="277"/>
      <c r="W253" s="277"/>
      <c r="X253" s="277"/>
      <c r="Y253" s="277"/>
      <c r="Z253" s="277"/>
      <c r="AA253" s="277"/>
      <c r="AB253" s="277"/>
      <c r="AC253" s="277"/>
      <c r="AD253" s="277"/>
      <c r="AE253" s="277"/>
      <c r="AF253" s="277"/>
      <c r="AG253" s="277"/>
      <c r="AH253" s="277"/>
      <c r="AI253" s="277"/>
      <c r="AJ253" s="277"/>
      <c r="AK253" s="277"/>
      <c r="AL253" s="277"/>
      <c r="AM253" s="277"/>
      <c r="AN253" s="277"/>
      <c r="AO253" s="277"/>
      <c r="AP253" s="277"/>
      <c r="AQ253" s="277"/>
      <c r="AR253" s="277"/>
      <c r="AS253" s="277"/>
      <c r="AT253" s="277"/>
      <c r="AU253" s="277"/>
      <c r="AV253" s="75"/>
      <c r="AW253" s="75"/>
      <c r="AX253" s="75"/>
      <c r="AY253" s="75"/>
      <c r="AZ253" s="75"/>
      <c r="BA253" s="75"/>
      <c r="BB253" s="75"/>
      <c r="BC253" s="75"/>
      <c r="BD253" s="75"/>
      <c r="BE253" s="75"/>
      <c r="BF253" s="75"/>
      <c r="BG253" s="75"/>
      <c r="BH253" s="75"/>
      <c r="BI253" s="75"/>
      <c r="BJ253" s="75"/>
      <c r="BK253" s="75"/>
      <c r="BL253" s="75"/>
      <c r="BM253" s="75"/>
      <c r="BN253" s="75"/>
      <c r="BO253" s="75"/>
      <c r="BP253" s="75"/>
      <c r="BQ253" s="75"/>
      <c r="BR253" s="75"/>
      <c r="BS253" s="75"/>
      <c r="BT253" s="75"/>
      <c r="BU253" s="75"/>
      <c r="BV253" s="75"/>
    </row>
    <row r="254" spans="1:256" s="8" customFormat="1" ht="13.5" customHeight="1">
      <c r="A254" s="69"/>
      <c r="B254" s="71"/>
      <c r="C254" s="71"/>
      <c r="D254" s="78" t="s">
        <v>257</v>
      </c>
      <c r="E254" s="71"/>
      <c r="F254" s="79">
        <v>2</v>
      </c>
      <c r="G254" s="73"/>
      <c r="H254" s="73"/>
      <c r="I254" s="106"/>
      <c r="J254" s="305"/>
      <c r="K254" s="277"/>
      <c r="L254" s="277"/>
      <c r="M254" s="277"/>
      <c r="N254" s="277"/>
      <c r="O254" s="277"/>
      <c r="P254" s="277"/>
      <c r="Q254" s="277"/>
      <c r="R254" s="277"/>
      <c r="S254" s="277"/>
      <c r="T254" s="277"/>
      <c r="U254" s="277"/>
      <c r="V254" s="277"/>
      <c r="W254" s="277"/>
      <c r="X254" s="277"/>
      <c r="Y254" s="277"/>
      <c r="Z254" s="277"/>
      <c r="AA254" s="277"/>
      <c r="AB254" s="277"/>
      <c r="AC254" s="277"/>
      <c r="AD254" s="277"/>
      <c r="AE254" s="277"/>
      <c r="AF254" s="277"/>
      <c r="AG254" s="277"/>
      <c r="AH254" s="277"/>
      <c r="AI254" s="277"/>
      <c r="AJ254" s="277"/>
      <c r="AK254" s="277"/>
      <c r="AL254" s="277"/>
      <c r="AM254" s="277"/>
      <c r="AN254" s="277"/>
      <c r="AO254" s="277"/>
      <c r="AP254" s="277"/>
      <c r="AQ254" s="277"/>
      <c r="AR254" s="277"/>
      <c r="AS254" s="277"/>
      <c r="AT254" s="277"/>
      <c r="AU254" s="277"/>
      <c r="AV254" s="75"/>
      <c r="AW254" s="75"/>
      <c r="AX254" s="75"/>
      <c r="AY254" s="75"/>
      <c r="AZ254" s="75"/>
      <c r="BA254" s="75"/>
      <c r="BB254" s="75"/>
      <c r="BC254" s="75"/>
      <c r="BD254" s="75"/>
      <c r="BE254" s="75"/>
      <c r="BF254" s="75"/>
      <c r="BG254" s="75"/>
      <c r="BH254" s="75"/>
      <c r="BI254" s="75"/>
      <c r="BJ254" s="75"/>
      <c r="BK254" s="75"/>
      <c r="BL254" s="75"/>
      <c r="BM254" s="75"/>
      <c r="BN254" s="75"/>
      <c r="BO254" s="75"/>
      <c r="BP254" s="75"/>
      <c r="BQ254" s="75"/>
      <c r="BR254" s="75"/>
      <c r="BS254" s="75"/>
      <c r="BT254" s="75"/>
      <c r="BU254" s="75"/>
      <c r="BV254" s="75"/>
    </row>
    <row r="255" spans="1:256" s="8" customFormat="1" ht="13.5" customHeight="1">
      <c r="A255" s="69"/>
      <c r="B255" s="71"/>
      <c r="C255" s="71"/>
      <c r="D255" s="78" t="s">
        <v>258</v>
      </c>
      <c r="E255" s="71"/>
      <c r="F255" s="79">
        <v>2</v>
      </c>
      <c r="G255" s="73"/>
      <c r="H255" s="73"/>
      <c r="I255" s="106"/>
      <c r="J255" s="305"/>
      <c r="K255" s="277"/>
      <c r="L255" s="277"/>
      <c r="M255" s="277"/>
      <c r="N255" s="277"/>
      <c r="O255" s="277"/>
      <c r="P255" s="277"/>
      <c r="Q255" s="277"/>
      <c r="R255" s="277"/>
      <c r="S255" s="277"/>
      <c r="T255" s="277"/>
      <c r="U255" s="277"/>
      <c r="V255" s="277"/>
      <c r="W255" s="277"/>
      <c r="X255" s="277"/>
      <c r="Y255" s="277"/>
      <c r="Z255" s="277"/>
      <c r="AA255" s="277"/>
      <c r="AB255" s="277"/>
      <c r="AC255" s="277"/>
      <c r="AD255" s="277"/>
      <c r="AE255" s="277"/>
      <c r="AF255" s="277"/>
      <c r="AG255" s="277"/>
      <c r="AH255" s="277"/>
      <c r="AI255" s="277"/>
      <c r="AJ255" s="277"/>
      <c r="AK255" s="277"/>
      <c r="AL255" s="277"/>
      <c r="AM255" s="277"/>
      <c r="AN255" s="277"/>
      <c r="AO255" s="277"/>
      <c r="AP255" s="277"/>
      <c r="AQ255" s="277"/>
      <c r="AR255" s="277"/>
      <c r="AS255" s="277"/>
      <c r="AT255" s="277"/>
      <c r="AU255" s="277"/>
      <c r="AV255" s="75"/>
      <c r="AW255" s="75"/>
      <c r="AX255" s="75"/>
      <c r="AY255" s="75"/>
      <c r="AZ255" s="75"/>
      <c r="BA255" s="75"/>
      <c r="BB255" s="75"/>
      <c r="BC255" s="75"/>
      <c r="BD255" s="75"/>
      <c r="BE255" s="75"/>
      <c r="BF255" s="75"/>
      <c r="BG255" s="75"/>
      <c r="BH255" s="75"/>
      <c r="BI255" s="75"/>
      <c r="BJ255" s="75"/>
      <c r="BK255" s="75"/>
      <c r="BL255" s="75"/>
      <c r="BM255" s="75"/>
      <c r="BN255" s="75"/>
      <c r="BO255" s="75"/>
      <c r="BP255" s="75"/>
      <c r="BQ255" s="75"/>
      <c r="BR255" s="75"/>
      <c r="BS255" s="75"/>
      <c r="BT255" s="75"/>
      <c r="BU255" s="75"/>
      <c r="BV255" s="75"/>
    </row>
    <row r="256" spans="1:256" s="8" customFormat="1" ht="13.5" customHeight="1">
      <c r="A256" s="69"/>
      <c r="B256" s="71"/>
      <c r="C256" s="71"/>
      <c r="D256" s="78" t="s">
        <v>259</v>
      </c>
      <c r="E256" s="71"/>
      <c r="F256" s="79">
        <v>2</v>
      </c>
      <c r="G256" s="73"/>
      <c r="H256" s="73"/>
      <c r="I256" s="106"/>
      <c r="J256" s="305"/>
      <c r="K256" s="277"/>
      <c r="L256" s="277"/>
      <c r="M256" s="277"/>
      <c r="N256" s="277"/>
      <c r="O256" s="277"/>
      <c r="P256" s="277"/>
      <c r="Q256" s="277"/>
      <c r="R256" s="277"/>
      <c r="S256" s="277"/>
      <c r="T256" s="277"/>
      <c r="U256" s="277"/>
      <c r="V256" s="277"/>
      <c r="W256" s="277"/>
      <c r="X256" s="277"/>
      <c r="Y256" s="277"/>
      <c r="Z256" s="277"/>
      <c r="AA256" s="277"/>
      <c r="AB256" s="277"/>
      <c r="AC256" s="277"/>
      <c r="AD256" s="277"/>
      <c r="AE256" s="277"/>
      <c r="AF256" s="277"/>
      <c r="AG256" s="277"/>
      <c r="AH256" s="277"/>
      <c r="AI256" s="277"/>
      <c r="AJ256" s="277"/>
      <c r="AK256" s="277"/>
      <c r="AL256" s="277"/>
      <c r="AM256" s="277"/>
      <c r="AN256" s="277"/>
      <c r="AO256" s="277"/>
      <c r="AP256" s="277"/>
      <c r="AQ256" s="277"/>
      <c r="AR256" s="277"/>
      <c r="AS256" s="277"/>
      <c r="AT256" s="277"/>
      <c r="AU256" s="277"/>
      <c r="AV256" s="75"/>
      <c r="AW256" s="75"/>
      <c r="AX256" s="75"/>
      <c r="AY256" s="75"/>
      <c r="AZ256" s="75"/>
      <c r="BA256" s="75"/>
      <c r="BB256" s="75"/>
      <c r="BC256" s="75"/>
      <c r="BD256" s="75"/>
      <c r="BE256" s="75"/>
      <c r="BF256" s="75"/>
      <c r="BG256" s="75"/>
      <c r="BH256" s="75"/>
      <c r="BI256" s="75"/>
      <c r="BJ256" s="75"/>
      <c r="BK256" s="75"/>
      <c r="BL256" s="75"/>
      <c r="BM256" s="75"/>
      <c r="BN256" s="75"/>
      <c r="BO256" s="75"/>
      <c r="BP256" s="75"/>
      <c r="BQ256" s="75"/>
      <c r="BR256" s="75"/>
      <c r="BS256" s="75"/>
      <c r="BT256" s="75"/>
      <c r="BU256" s="75"/>
      <c r="BV256" s="75"/>
    </row>
    <row r="257" spans="1:74" s="8" customFormat="1" ht="13.5" customHeight="1">
      <c r="A257" s="69"/>
      <c r="B257" s="71"/>
      <c r="C257" s="71"/>
      <c r="D257" s="78" t="s">
        <v>260</v>
      </c>
      <c r="E257" s="71"/>
      <c r="F257" s="79">
        <v>1</v>
      </c>
      <c r="G257" s="73"/>
      <c r="H257" s="73"/>
      <c r="I257" s="106"/>
      <c r="J257" s="305"/>
      <c r="K257" s="277"/>
      <c r="L257" s="277"/>
      <c r="M257" s="277"/>
      <c r="N257" s="277"/>
      <c r="O257" s="277"/>
      <c r="P257" s="277"/>
      <c r="Q257" s="277"/>
      <c r="R257" s="277"/>
      <c r="S257" s="277"/>
      <c r="T257" s="277"/>
      <c r="U257" s="277"/>
      <c r="V257" s="277"/>
      <c r="W257" s="277"/>
      <c r="X257" s="277"/>
      <c r="Y257" s="277"/>
      <c r="Z257" s="277"/>
      <c r="AA257" s="277"/>
      <c r="AB257" s="277"/>
      <c r="AC257" s="277"/>
      <c r="AD257" s="277"/>
      <c r="AE257" s="277"/>
      <c r="AF257" s="277"/>
      <c r="AG257" s="277"/>
      <c r="AH257" s="277"/>
      <c r="AI257" s="277"/>
      <c r="AJ257" s="277"/>
      <c r="AK257" s="277"/>
      <c r="AL257" s="277"/>
      <c r="AM257" s="277"/>
      <c r="AN257" s="277"/>
      <c r="AO257" s="277"/>
      <c r="AP257" s="277"/>
      <c r="AQ257" s="277"/>
      <c r="AR257" s="277"/>
      <c r="AS257" s="277"/>
      <c r="AT257" s="277"/>
      <c r="AU257" s="277"/>
      <c r="AV257" s="75"/>
      <c r="AW257" s="75"/>
      <c r="AX257" s="75"/>
      <c r="AY257" s="75"/>
      <c r="AZ257" s="75"/>
      <c r="BA257" s="75"/>
      <c r="BB257" s="75"/>
      <c r="BC257" s="75"/>
      <c r="BD257" s="75"/>
      <c r="BE257" s="75"/>
      <c r="BF257" s="75"/>
      <c r="BG257" s="75"/>
      <c r="BH257" s="75"/>
      <c r="BI257" s="75"/>
      <c r="BJ257" s="75"/>
      <c r="BK257" s="75"/>
      <c r="BL257" s="75"/>
      <c r="BM257" s="75"/>
      <c r="BN257" s="75"/>
      <c r="BO257" s="75"/>
      <c r="BP257" s="75"/>
      <c r="BQ257" s="75"/>
      <c r="BR257" s="75"/>
      <c r="BS257" s="75"/>
      <c r="BT257" s="75"/>
      <c r="BU257" s="75"/>
      <c r="BV257" s="75"/>
    </row>
    <row r="258" spans="1:74" s="8" customFormat="1" ht="27" customHeight="1">
      <c r="A258" s="69"/>
      <c r="B258" s="71"/>
      <c r="C258" s="71"/>
      <c r="D258" s="78" t="s">
        <v>261</v>
      </c>
      <c r="E258" s="71"/>
      <c r="F258" s="118"/>
      <c r="G258" s="73"/>
      <c r="H258" s="73"/>
      <c r="I258" s="106"/>
      <c r="J258" s="306"/>
      <c r="K258" s="277"/>
      <c r="L258" s="277"/>
      <c r="M258" s="277"/>
      <c r="N258" s="277"/>
      <c r="O258" s="277"/>
      <c r="P258" s="277"/>
      <c r="Q258" s="277"/>
      <c r="R258" s="277"/>
      <c r="S258" s="277"/>
      <c r="T258" s="277"/>
      <c r="U258" s="277"/>
      <c r="V258" s="277"/>
      <c r="W258" s="277"/>
      <c r="X258" s="277"/>
      <c r="Y258" s="277"/>
      <c r="Z258" s="277"/>
      <c r="AA258" s="277"/>
      <c r="AB258" s="277"/>
      <c r="AC258" s="277"/>
      <c r="AD258" s="277"/>
      <c r="AE258" s="277"/>
      <c r="AF258" s="277"/>
      <c r="AG258" s="277"/>
      <c r="AH258" s="277"/>
      <c r="AI258" s="277"/>
      <c r="AJ258" s="277"/>
      <c r="AK258" s="277"/>
      <c r="AL258" s="277"/>
      <c r="AM258" s="277"/>
      <c r="AN258" s="277"/>
      <c r="AO258" s="277"/>
      <c r="AP258" s="277"/>
      <c r="AQ258" s="277"/>
      <c r="AR258" s="277"/>
      <c r="AS258" s="277"/>
      <c r="AT258" s="277"/>
      <c r="AU258" s="277"/>
      <c r="AV258" s="75"/>
      <c r="AW258" s="75"/>
      <c r="AX258" s="75"/>
      <c r="AY258" s="75"/>
      <c r="AZ258" s="75"/>
      <c r="BA258" s="75"/>
      <c r="BB258" s="75"/>
      <c r="BC258" s="75"/>
      <c r="BD258" s="75"/>
      <c r="BE258" s="75"/>
      <c r="BF258" s="75"/>
      <c r="BG258" s="75"/>
      <c r="BH258" s="75"/>
      <c r="BI258" s="75"/>
      <c r="BJ258" s="75"/>
      <c r="BK258" s="75"/>
      <c r="BL258" s="75"/>
      <c r="BM258" s="75"/>
      <c r="BN258" s="75"/>
      <c r="BO258" s="75"/>
      <c r="BP258" s="75"/>
      <c r="BQ258" s="75"/>
      <c r="BR258" s="75"/>
      <c r="BS258" s="75"/>
      <c r="BT258" s="75"/>
      <c r="BU258" s="75"/>
      <c r="BV258" s="75"/>
    </row>
    <row r="259" spans="1:74" s="8" customFormat="1" ht="13.5" customHeight="1">
      <c r="A259" s="76"/>
      <c r="B259" s="77"/>
      <c r="C259" s="77" t="s">
        <v>82</v>
      </c>
      <c r="D259" s="77" t="s">
        <v>13</v>
      </c>
      <c r="E259" s="77"/>
      <c r="F259" s="162"/>
      <c r="G259" s="80"/>
      <c r="H259" s="80">
        <f>SUM(H260:H298)</f>
        <v>0</v>
      </c>
      <c r="I259" s="118"/>
      <c r="J259" s="278"/>
      <c r="K259" s="278"/>
      <c r="L259" s="278"/>
      <c r="M259" s="277"/>
      <c r="N259" s="277"/>
      <c r="O259" s="277"/>
      <c r="P259" s="277"/>
      <c r="Q259" s="277"/>
      <c r="R259" s="277"/>
      <c r="S259" s="277"/>
      <c r="T259" s="277"/>
      <c r="U259" s="277"/>
      <c r="V259" s="277"/>
      <c r="W259" s="277"/>
      <c r="X259" s="277"/>
      <c r="Y259" s="277"/>
      <c r="Z259" s="277"/>
      <c r="AA259" s="277"/>
      <c r="AB259" s="277"/>
      <c r="AC259" s="277"/>
      <c r="AD259" s="277"/>
      <c r="AE259" s="277"/>
      <c r="AF259" s="277"/>
      <c r="AG259" s="277"/>
      <c r="AH259" s="277"/>
      <c r="AI259" s="277"/>
      <c r="AJ259" s="277"/>
      <c r="AK259" s="277"/>
      <c r="AL259" s="277"/>
      <c r="AM259" s="277"/>
      <c r="AN259" s="277"/>
      <c r="AO259" s="277"/>
      <c r="AP259" s="277"/>
      <c r="AQ259" s="277"/>
      <c r="AR259" s="277"/>
      <c r="AS259" s="277"/>
      <c r="AT259" s="277"/>
      <c r="AU259" s="277"/>
      <c r="AV259" s="75"/>
      <c r="AW259" s="75"/>
      <c r="AX259" s="75"/>
      <c r="AY259" s="75"/>
      <c r="AZ259" s="75"/>
      <c r="BA259" s="75"/>
      <c r="BB259" s="75"/>
      <c r="BC259" s="75"/>
      <c r="BD259" s="75"/>
      <c r="BE259" s="75"/>
      <c r="BF259" s="75"/>
      <c r="BG259" s="75"/>
      <c r="BH259" s="75"/>
      <c r="BI259" s="75"/>
      <c r="BJ259" s="75"/>
      <c r="BK259" s="75"/>
      <c r="BL259" s="75"/>
      <c r="BM259" s="75"/>
      <c r="BN259" s="75"/>
      <c r="BO259" s="75"/>
      <c r="BP259" s="75"/>
      <c r="BQ259" s="75"/>
      <c r="BR259" s="75"/>
      <c r="BS259" s="75"/>
      <c r="BT259" s="75"/>
      <c r="BU259" s="75"/>
      <c r="BV259" s="75"/>
    </row>
    <row r="260" spans="1:74" s="8" customFormat="1" ht="13.5" customHeight="1">
      <c r="A260" s="69">
        <v>49</v>
      </c>
      <c r="B260" s="70" t="s">
        <v>83</v>
      </c>
      <c r="C260" s="71" t="s">
        <v>262</v>
      </c>
      <c r="D260" s="71" t="s">
        <v>263</v>
      </c>
      <c r="E260" s="71" t="s">
        <v>60</v>
      </c>
      <c r="F260" s="105">
        <f>SUM(F261:F268)</f>
        <v>29</v>
      </c>
      <c r="G260" s="73"/>
      <c r="H260" s="73">
        <f>F260*G260</f>
        <v>0</v>
      </c>
      <c r="I260" s="106" t="s">
        <v>50</v>
      </c>
      <c r="J260" s="341"/>
      <c r="K260" s="305"/>
      <c r="L260" s="300"/>
      <c r="M260" s="301"/>
      <c r="N260" s="302"/>
      <c r="O260" s="303"/>
      <c r="P260" s="305"/>
      <c r="Q260" s="305"/>
      <c r="R260" s="277"/>
      <c r="S260" s="277"/>
      <c r="T260" s="277"/>
      <c r="U260" s="277"/>
      <c r="V260" s="277"/>
      <c r="W260" s="277"/>
      <c r="X260" s="277"/>
      <c r="Y260" s="277"/>
      <c r="Z260" s="277"/>
      <c r="AA260" s="277"/>
      <c r="AB260" s="277"/>
      <c r="AC260" s="277"/>
      <c r="AD260" s="277"/>
      <c r="AE260" s="277"/>
      <c r="AF260" s="277"/>
      <c r="AG260" s="277"/>
      <c r="AH260" s="277"/>
      <c r="AI260" s="277"/>
      <c r="AJ260" s="277"/>
      <c r="AK260" s="277"/>
      <c r="AL260" s="277"/>
      <c r="AM260" s="277"/>
      <c r="AN260" s="277"/>
      <c r="AO260" s="277"/>
      <c r="AP260" s="277"/>
      <c r="AQ260" s="277"/>
      <c r="AR260" s="277"/>
      <c r="AS260" s="277"/>
      <c r="AT260" s="277"/>
      <c r="AU260" s="277"/>
      <c r="AV260" s="75"/>
      <c r="AW260" s="75"/>
      <c r="AX260" s="75"/>
      <c r="AY260" s="75"/>
      <c r="AZ260" s="75"/>
      <c r="BA260" s="75"/>
      <c r="BB260" s="75"/>
      <c r="BC260" s="75"/>
      <c r="BD260" s="75"/>
      <c r="BE260" s="75"/>
      <c r="BF260" s="75"/>
      <c r="BG260" s="75"/>
      <c r="BH260" s="75"/>
      <c r="BI260" s="75"/>
      <c r="BJ260" s="75"/>
      <c r="BK260" s="75"/>
      <c r="BL260" s="75"/>
      <c r="BM260" s="75"/>
      <c r="BN260" s="75"/>
      <c r="BO260" s="75"/>
      <c r="BP260" s="75"/>
      <c r="BQ260" s="75"/>
      <c r="BR260" s="75"/>
      <c r="BS260" s="75"/>
      <c r="BT260" s="75"/>
      <c r="BU260" s="75"/>
      <c r="BV260" s="75"/>
    </row>
    <row r="261" spans="1:74" s="8" customFormat="1" ht="13.5" customHeight="1">
      <c r="A261" s="69"/>
      <c r="B261" s="71"/>
      <c r="C261" s="71"/>
      <c r="D261" s="78" t="s">
        <v>255</v>
      </c>
      <c r="E261" s="71"/>
      <c r="F261" s="79">
        <v>3</v>
      </c>
      <c r="G261" s="73"/>
      <c r="H261" s="73"/>
      <c r="I261" s="106"/>
      <c r="J261" s="305"/>
      <c r="K261" s="277"/>
      <c r="L261" s="277"/>
      <c r="M261" s="277"/>
      <c r="N261" s="277"/>
      <c r="O261" s="277"/>
      <c r="P261" s="277"/>
      <c r="Q261" s="277"/>
      <c r="R261" s="307"/>
      <c r="S261" s="277"/>
      <c r="T261" s="277"/>
      <c r="U261" s="277"/>
      <c r="V261" s="277"/>
      <c r="W261" s="277"/>
      <c r="X261" s="277"/>
      <c r="Y261" s="277"/>
      <c r="Z261" s="277"/>
      <c r="AA261" s="277"/>
      <c r="AB261" s="277"/>
      <c r="AC261" s="277"/>
      <c r="AD261" s="277"/>
      <c r="AE261" s="277"/>
      <c r="AF261" s="277"/>
      <c r="AG261" s="277"/>
      <c r="AH261" s="277"/>
      <c r="AI261" s="277"/>
      <c r="AJ261" s="277"/>
      <c r="AK261" s="277"/>
      <c r="AL261" s="277"/>
      <c r="AM261" s="277"/>
      <c r="AN261" s="277"/>
      <c r="AO261" s="277"/>
      <c r="AP261" s="277"/>
      <c r="AQ261" s="277"/>
      <c r="AR261" s="277"/>
      <c r="AS261" s="277"/>
      <c r="AT261" s="277"/>
      <c r="AU261" s="277"/>
      <c r="AV261" s="75"/>
      <c r="AW261" s="75"/>
      <c r="AX261" s="75"/>
      <c r="AY261" s="75"/>
      <c r="AZ261" s="75"/>
      <c r="BA261" s="75"/>
      <c r="BB261" s="75"/>
      <c r="BC261" s="75"/>
      <c r="BD261" s="75"/>
      <c r="BE261" s="75"/>
      <c r="BF261" s="75"/>
      <c r="BG261" s="75"/>
      <c r="BH261" s="75"/>
      <c r="BI261" s="75"/>
      <c r="BJ261" s="75"/>
      <c r="BK261" s="75"/>
      <c r="BL261" s="75"/>
      <c r="BM261" s="75"/>
      <c r="BN261" s="75"/>
      <c r="BO261" s="75"/>
      <c r="BP261" s="75"/>
      <c r="BQ261" s="75"/>
      <c r="BR261" s="75"/>
      <c r="BS261" s="75"/>
      <c r="BT261" s="75"/>
      <c r="BU261" s="75"/>
      <c r="BV261" s="75"/>
    </row>
    <row r="262" spans="1:74" s="8" customFormat="1" ht="13.5" customHeight="1">
      <c r="A262" s="69"/>
      <c r="B262" s="71"/>
      <c r="C262" s="71"/>
      <c r="D262" s="78" t="s">
        <v>256</v>
      </c>
      <c r="E262" s="71"/>
      <c r="F262" s="79">
        <v>6</v>
      </c>
      <c r="G262" s="73"/>
      <c r="H262" s="73"/>
      <c r="I262" s="106"/>
      <c r="J262" s="305"/>
      <c r="K262" s="277"/>
      <c r="L262" s="277"/>
      <c r="M262" s="277"/>
      <c r="N262" s="277"/>
      <c r="O262" s="277"/>
      <c r="P262" s="277"/>
      <c r="Q262" s="277"/>
      <c r="R262" s="307"/>
      <c r="S262" s="277"/>
      <c r="T262" s="277"/>
      <c r="U262" s="277"/>
      <c r="V262" s="277"/>
      <c r="W262" s="277"/>
      <c r="X262" s="277"/>
      <c r="Y262" s="277"/>
      <c r="Z262" s="277"/>
      <c r="AA262" s="277"/>
      <c r="AB262" s="277"/>
      <c r="AC262" s="277"/>
      <c r="AD262" s="277"/>
      <c r="AE262" s="277"/>
      <c r="AF262" s="277"/>
      <c r="AG262" s="277"/>
      <c r="AH262" s="277"/>
      <c r="AI262" s="277"/>
      <c r="AJ262" s="277"/>
      <c r="AK262" s="277"/>
      <c r="AL262" s="277"/>
      <c r="AM262" s="277"/>
      <c r="AN262" s="277"/>
      <c r="AO262" s="277"/>
      <c r="AP262" s="277"/>
      <c r="AQ262" s="277"/>
      <c r="AR262" s="277"/>
      <c r="AS262" s="277"/>
      <c r="AT262" s="277"/>
      <c r="AU262" s="277"/>
      <c r="AV262" s="75"/>
      <c r="AW262" s="75"/>
      <c r="AX262" s="75"/>
      <c r="AY262" s="75"/>
      <c r="AZ262" s="75"/>
      <c r="BA262" s="75"/>
      <c r="BB262" s="75"/>
      <c r="BC262" s="75"/>
      <c r="BD262" s="75"/>
      <c r="BE262" s="75"/>
      <c r="BF262" s="75"/>
      <c r="BG262" s="75"/>
      <c r="BH262" s="75"/>
      <c r="BI262" s="75"/>
      <c r="BJ262" s="75"/>
      <c r="BK262" s="75"/>
      <c r="BL262" s="75"/>
      <c r="BM262" s="75"/>
      <c r="BN262" s="75"/>
      <c r="BO262" s="75"/>
      <c r="BP262" s="75"/>
      <c r="BQ262" s="75"/>
      <c r="BR262" s="75"/>
      <c r="BS262" s="75"/>
      <c r="BT262" s="75"/>
      <c r="BU262" s="75"/>
      <c r="BV262" s="75"/>
    </row>
    <row r="263" spans="1:74" s="8" customFormat="1" ht="13.5" customHeight="1">
      <c r="A263" s="69"/>
      <c r="B263" s="71"/>
      <c r="C263" s="71"/>
      <c r="D263" s="78" t="s">
        <v>264</v>
      </c>
      <c r="E263" s="71"/>
      <c r="F263" s="79">
        <v>1</v>
      </c>
      <c r="G263" s="73"/>
      <c r="H263" s="73"/>
      <c r="I263" s="106"/>
      <c r="J263" s="305"/>
      <c r="K263" s="277"/>
      <c r="L263" s="277"/>
      <c r="M263" s="277"/>
      <c r="N263" s="277"/>
      <c r="O263" s="277"/>
      <c r="P263" s="277"/>
      <c r="Q263" s="277"/>
      <c r="R263" s="307"/>
      <c r="S263" s="277"/>
      <c r="T263" s="277"/>
      <c r="U263" s="277"/>
      <c r="V263" s="277"/>
      <c r="W263" s="277"/>
      <c r="X263" s="277"/>
      <c r="Y263" s="277"/>
      <c r="Z263" s="277"/>
      <c r="AA263" s="277"/>
      <c r="AB263" s="277"/>
      <c r="AC263" s="277"/>
      <c r="AD263" s="277"/>
      <c r="AE263" s="277"/>
      <c r="AF263" s="277"/>
      <c r="AG263" s="277"/>
      <c r="AH263" s="277"/>
      <c r="AI263" s="277"/>
      <c r="AJ263" s="277"/>
      <c r="AK263" s="277"/>
      <c r="AL263" s="277"/>
      <c r="AM263" s="277"/>
      <c r="AN263" s="277"/>
      <c r="AO263" s="277"/>
      <c r="AP263" s="277"/>
      <c r="AQ263" s="277"/>
      <c r="AR263" s="277"/>
      <c r="AS263" s="277"/>
      <c r="AT263" s="277"/>
      <c r="AU263" s="277"/>
      <c r="AV263" s="75"/>
      <c r="AW263" s="75"/>
      <c r="AX263" s="75"/>
      <c r="AY263" s="75"/>
      <c r="AZ263" s="75"/>
      <c r="BA263" s="75"/>
      <c r="BB263" s="75"/>
      <c r="BC263" s="75"/>
      <c r="BD263" s="75"/>
      <c r="BE263" s="75"/>
      <c r="BF263" s="75"/>
      <c r="BG263" s="75"/>
      <c r="BH263" s="75"/>
      <c r="BI263" s="75"/>
      <c r="BJ263" s="75"/>
      <c r="BK263" s="75"/>
      <c r="BL263" s="75"/>
      <c r="BM263" s="75"/>
      <c r="BN263" s="75"/>
      <c r="BO263" s="75"/>
      <c r="BP263" s="75"/>
      <c r="BQ263" s="75"/>
      <c r="BR263" s="75"/>
      <c r="BS263" s="75"/>
      <c r="BT263" s="75"/>
      <c r="BU263" s="75"/>
      <c r="BV263" s="75"/>
    </row>
    <row r="264" spans="1:74" s="8" customFormat="1" ht="13.5" customHeight="1">
      <c r="A264" s="69"/>
      <c r="B264" s="71"/>
      <c r="C264" s="71"/>
      <c r="D264" s="78" t="s">
        <v>257</v>
      </c>
      <c r="E264" s="71"/>
      <c r="F264" s="79">
        <v>6</v>
      </c>
      <c r="G264" s="73"/>
      <c r="H264" s="73"/>
      <c r="I264" s="106"/>
      <c r="J264" s="305"/>
      <c r="K264" s="277"/>
      <c r="L264" s="277"/>
      <c r="M264" s="277"/>
      <c r="N264" s="277"/>
      <c r="O264" s="277"/>
      <c r="P264" s="277"/>
      <c r="Q264" s="277"/>
      <c r="R264" s="307"/>
      <c r="S264" s="277"/>
      <c r="T264" s="277"/>
      <c r="U264" s="277"/>
      <c r="V264" s="277"/>
      <c r="W264" s="277"/>
      <c r="X264" s="277"/>
      <c r="Y264" s="277"/>
      <c r="Z264" s="277"/>
      <c r="AA264" s="277"/>
      <c r="AB264" s="277"/>
      <c r="AC264" s="277"/>
      <c r="AD264" s="277"/>
      <c r="AE264" s="277"/>
      <c r="AF264" s="277"/>
      <c r="AG264" s="277"/>
      <c r="AH264" s="277"/>
      <c r="AI264" s="277"/>
      <c r="AJ264" s="277"/>
      <c r="AK264" s="277"/>
      <c r="AL264" s="277"/>
      <c r="AM264" s="277"/>
      <c r="AN264" s="277"/>
      <c r="AO264" s="277"/>
      <c r="AP264" s="277"/>
      <c r="AQ264" s="277"/>
      <c r="AR264" s="277"/>
      <c r="AS264" s="277"/>
      <c r="AT264" s="277"/>
      <c r="AU264" s="277"/>
      <c r="AV264" s="75"/>
      <c r="AW264" s="75"/>
      <c r="AX264" s="75"/>
      <c r="AY264" s="75"/>
      <c r="AZ264" s="75"/>
      <c r="BA264" s="75"/>
      <c r="BB264" s="75"/>
      <c r="BC264" s="75"/>
      <c r="BD264" s="75"/>
      <c r="BE264" s="75"/>
      <c r="BF264" s="75"/>
      <c r="BG264" s="75"/>
      <c r="BH264" s="75"/>
      <c r="BI264" s="75"/>
      <c r="BJ264" s="75"/>
      <c r="BK264" s="75"/>
      <c r="BL264" s="75"/>
      <c r="BM264" s="75"/>
      <c r="BN264" s="75"/>
      <c r="BO264" s="75"/>
      <c r="BP264" s="75"/>
      <c r="BQ264" s="75"/>
      <c r="BR264" s="75"/>
      <c r="BS264" s="75"/>
      <c r="BT264" s="75"/>
      <c r="BU264" s="75"/>
      <c r="BV264" s="75"/>
    </row>
    <row r="265" spans="1:74" s="8" customFormat="1" ht="13.5" customHeight="1">
      <c r="A265" s="69"/>
      <c r="B265" s="71"/>
      <c r="C265" s="71"/>
      <c r="D265" s="78" t="s">
        <v>265</v>
      </c>
      <c r="E265" s="71"/>
      <c r="F265" s="79">
        <v>1</v>
      </c>
      <c r="G265" s="73"/>
      <c r="H265" s="73"/>
      <c r="I265" s="106"/>
      <c r="J265" s="305"/>
      <c r="K265" s="277"/>
      <c r="L265" s="277"/>
      <c r="M265" s="277"/>
      <c r="N265" s="277"/>
      <c r="O265" s="277"/>
      <c r="P265" s="277"/>
      <c r="Q265" s="277"/>
      <c r="R265" s="307"/>
      <c r="S265" s="277"/>
      <c r="T265" s="277"/>
      <c r="U265" s="277"/>
      <c r="V265" s="277"/>
      <c r="W265" s="277"/>
      <c r="X265" s="277"/>
      <c r="Y265" s="277"/>
      <c r="Z265" s="277"/>
      <c r="AA265" s="277"/>
      <c r="AB265" s="277"/>
      <c r="AC265" s="277"/>
      <c r="AD265" s="277"/>
      <c r="AE265" s="277"/>
      <c r="AF265" s="277"/>
      <c r="AG265" s="277"/>
      <c r="AH265" s="277"/>
      <c r="AI265" s="277"/>
      <c r="AJ265" s="277"/>
      <c r="AK265" s="277"/>
      <c r="AL265" s="277"/>
      <c r="AM265" s="277"/>
      <c r="AN265" s="277"/>
      <c r="AO265" s="277"/>
      <c r="AP265" s="277"/>
      <c r="AQ265" s="277"/>
      <c r="AR265" s="277"/>
      <c r="AS265" s="277"/>
      <c r="AT265" s="277"/>
      <c r="AU265" s="277"/>
      <c r="AV265" s="75"/>
      <c r="AW265" s="75"/>
      <c r="AX265" s="75"/>
      <c r="AY265" s="75"/>
      <c r="AZ265" s="75"/>
      <c r="BA265" s="75"/>
      <c r="BB265" s="75"/>
      <c r="BC265" s="75"/>
      <c r="BD265" s="75"/>
      <c r="BE265" s="75"/>
      <c r="BF265" s="75"/>
      <c r="BG265" s="75"/>
      <c r="BH265" s="75"/>
      <c r="BI265" s="75"/>
      <c r="BJ265" s="75"/>
      <c r="BK265" s="75"/>
      <c r="BL265" s="75"/>
      <c r="BM265" s="75"/>
      <c r="BN265" s="75"/>
      <c r="BO265" s="75"/>
      <c r="BP265" s="75"/>
      <c r="BQ265" s="75"/>
      <c r="BR265" s="75"/>
      <c r="BS265" s="75"/>
      <c r="BT265" s="75"/>
      <c r="BU265" s="75"/>
      <c r="BV265" s="75"/>
    </row>
    <row r="266" spans="1:74" s="8" customFormat="1" ht="13.5" customHeight="1">
      <c r="A266" s="69"/>
      <c r="B266" s="71"/>
      <c r="C266" s="71"/>
      <c r="D266" s="78" t="s">
        <v>258</v>
      </c>
      <c r="E266" s="71"/>
      <c r="F266" s="79">
        <v>6</v>
      </c>
      <c r="G266" s="73"/>
      <c r="H266" s="73"/>
      <c r="I266" s="106"/>
      <c r="J266" s="305"/>
      <c r="K266" s="277"/>
      <c r="L266" s="277"/>
      <c r="M266" s="277"/>
      <c r="N266" s="277"/>
      <c r="O266" s="277"/>
      <c r="P266" s="277"/>
      <c r="Q266" s="277"/>
      <c r="R266" s="307"/>
      <c r="S266" s="277"/>
      <c r="T266" s="277"/>
      <c r="U266" s="277"/>
      <c r="V266" s="277"/>
      <c r="W266" s="277"/>
      <c r="X266" s="277"/>
      <c r="Y266" s="277"/>
      <c r="Z266" s="277"/>
      <c r="AA266" s="277"/>
      <c r="AB266" s="277"/>
      <c r="AC266" s="277"/>
      <c r="AD266" s="277"/>
      <c r="AE266" s="277"/>
      <c r="AF266" s="277"/>
      <c r="AG266" s="277"/>
      <c r="AH266" s="277"/>
      <c r="AI266" s="277"/>
      <c r="AJ266" s="277"/>
      <c r="AK266" s="277"/>
      <c r="AL266" s="277"/>
      <c r="AM266" s="277"/>
      <c r="AN266" s="277"/>
      <c r="AO266" s="277"/>
      <c r="AP266" s="277"/>
      <c r="AQ266" s="277"/>
      <c r="AR266" s="277"/>
      <c r="AS266" s="277"/>
      <c r="AT266" s="277"/>
      <c r="AU266" s="277"/>
      <c r="AV266" s="75"/>
      <c r="AW266" s="75"/>
      <c r="AX266" s="75"/>
      <c r="AY266" s="75"/>
      <c r="AZ266" s="75"/>
      <c r="BA266" s="75"/>
      <c r="BB266" s="75"/>
      <c r="BC266" s="75"/>
      <c r="BD266" s="75"/>
      <c r="BE266" s="75"/>
      <c r="BF266" s="75"/>
      <c r="BG266" s="75"/>
      <c r="BH266" s="75"/>
      <c r="BI266" s="75"/>
      <c r="BJ266" s="75"/>
      <c r="BK266" s="75"/>
      <c r="BL266" s="75"/>
      <c r="BM266" s="75"/>
      <c r="BN266" s="75"/>
      <c r="BO266" s="75"/>
      <c r="BP266" s="75"/>
      <c r="BQ266" s="75"/>
      <c r="BR266" s="75"/>
      <c r="BS266" s="75"/>
      <c r="BT266" s="75"/>
      <c r="BU266" s="75"/>
      <c r="BV266" s="75"/>
    </row>
    <row r="267" spans="1:74" s="8" customFormat="1" ht="13.5" customHeight="1">
      <c r="A267" s="69"/>
      <c r="B267" s="71"/>
      <c r="C267" s="71"/>
      <c r="D267" s="78" t="s">
        <v>266</v>
      </c>
      <c r="E267" s="71"/>
      <c r="F267" s="79">
        <v>1</v>
      </c>
      <c r="G267" s="73"/>
      <c r="H267" s="73"/>
      <c r="I267" s="106"/>
      <c r="J267" s="305"/>
      <c r="K267" s="277"/>
      <c r="L267" s="277"/>
      <c r="M267" s="277"/>
      <c r="N267" s="277"/>
      <c r="O267" s="277"/>
      <c r="P267" s="277"/>
      <c r="Q267" s="277"/>
      <c r="R267" s="307"/>
      <c r="S267" s="277"/>
      <c r="T267" s="277"/>
      <c r="U267" s="277"/>
      <c r="V267" s="277"/>
      <c r="W267" s="277"/>
      <c r="X267" s="277"/>
      <c r="Y267" s="277"/>
      <c r="Z267" s="277"/>
      <c r="AA267" s="277"/>
      <c r="AB267" s="277"/>
      <c r="AC267" s="277"/>
      <c r="AD267" s="277"/>
      <c r="AE267" s="277"/>
      <c r="AF267" s="277"/>
      <c r="AG267" s="277"/>
      <c r="AH267" s="277"/>
      <c r="AI267" s="277"/>
      <c r="AJ267" s="277"/>
      <c r="AK267" s="277"/>
      <c r="AL267" s="277"/>
      <c r="AM267" s="277"/>
      <c r="AN267" s="277"/>
      <c r="AO267" s="277"/>
      <c r="AP267" s="277"/>
      <c r="AQ267" s="277"/>
      <c r="AR267" s="277"/>
      <c r="AS267" s="277"/>
      <c r="AT267" s="277"/>
      <c r="AU267" s="277"/>
      <c r="AV267" s="75"/>
      <c r="AW267" s="75"/>
      <c r="AX267" s="75"/>
      <c r="AY267" s="75"/>
      <c r="AZ267" s="75"/>
      <c r="BA267" s="75"/>
      <c r="BB267" s="75"/>
      <c r="BC267" s="75"/>
      <c r="BD267" s="75"/>
      <c r="BE267" s="75"/>
      <c r="BF267" s="75"/>
      <c r="BG267" s="75"/>
      <c r="BH267" s="75"/>
      <c r="BI267" s="75"/>
      <c r="BJ267" s="75"/>
      <c r="BK267" s="75"/>
      <c r="BL267" s="75"/>
      <c r="BM267" s="75"/>
      <c r="BN267" s="75"/>
      <c r="BO267" s="75"/>
      <c r="BP267" s="75"/>
      <c r="BQ267" s="75"/>
      <c r="BR267" s="75"/>
      <c r="BS267" s="75"/>
      <c r="BT267" s="75"/>
      <c r="BU267" s="75"/>
      <c r="BV267" s="75"/>
    </row>
    <row r="268" spans="1:74" s="8" customFormat="1" ht="13.5" customHeight="1">
      <c r="A268" s="69"/>
      <c r="B268" s="71"/>
      <c r="C268" s="71"/>
      <c r="D268" s="78" t="s">
        <v>259</v>
      </c>
      <c r="E268" s="71"/>
      <c r="F268" s="79">
        <f>4+1</f>
        <v>5</v>
      </c>
      <c r="G268" s="73"/>
      <c r="H268" s="73"/>
      <c r="I268" s="106"/>
      <c r="J268" s="305"/>
      <c r="K268" s="277"/>
      <c r="L268" s="277"/>
      <c r="M268" s="277"/>
      <c r="N268" s="277"/>
      <c r="O268" s="277"/>
      <c r="P268" s="277"/>
      <c r="Q268" s="277"/>
      <c r="R268" s="307"/>
      <c r="S268" s="277"/>
      <c r="T268" s="277"/>
      <c r="U268" s="277"/>
      <c r="V268" s="277"/>
      <c r="W268" s="277"/>
      <c r="X268" s="277"/>
      <c r="Y268" s="277"/>
      <c r="Z268" s="277"/>
      <c r="AA268" s="277"/>
      <c r="AB268" s="277"/>
      <c r="AC268" s="277"/>
      <c r="AD268" s="277"/>
      <c r="AE268" s="277"/>
      <c r="AF268" s="277"/>
      <c r="AG268" s="277"/>
      <c r="AH268" s="277"/>
      <c r="AI268" s="277"/>
      <c r="AJ268" s="277"/>
      <c r="AK268" s="277"/>
      <c r="AL268" s="277"/>
      <c r="AM268" s="277"/>
      <c r="AN268" s="277"/>
      <c r="AO268" s="277"/>
      <c r="AP268" s="277"/>
      <c r="AQ268" s="277"/>
      <c r="AR268" s="277"/>
      <c r="AS268" s="277"/>
      <c r="AT268" s="277"/>
      <c r="AU268" s="277"/>
      <c r="AV268" s="75"/>
      <c r="AW268" s="75"/>
      <c r="AX268" s="75"/>
      <c r="AY268" s="75"/>
      <c r="AZ268" s="75"/>
      <c r="BA268" s="75"/>
      <c r="BB268" s="75"/>
      <c r="BC268" s="75"/>
      <c r="BD268" s="75"/>
      <c r="BE268" s="75"/>
      <c r="BF268" s="75"/>
      <c r="BG268" s="75"/>
      <c r="BH268" s="75"/>
      <c r="BI268" s="75"/>
      <c r="BJ268" s="75"/>
      <c r="BK268" s="75"/>
      <c r="BL268" s="75"/>
      <c r="BM268" s="75"/>
      <c r="BN268" s="75"/>
      <c r="BO268" s="75"/>
      <c r="BP268" s="75"/>
      <c r="BQ268" s="75"/>
      <c r="BR268" s="75"/>
      <c r="BS268" s="75"/>
      <c r="BT268" s="75"/>
      <c r="BU268" s="75"/>
      <c r="BV268" s="75"/>
    </row>
    <row r="269" spans="1:74" s="8" customFormat="1" ht="40.5" customHeight="1">
      <c r="A269" s="69"/>
      <c r="B269" s="71"/>
      <c r="C269" s="71"/>
      <c r="D269" s="78" t="s">
        <v>267</v>
      </c>
      <c r="E269" s="71"/>
      <c r="F269" s="118"/>
      <c r="G269" s="73"/>
      <c r="H269" s="73"/>
      <c r="I269" s="106"/>
      <c r="J269" s="306"/>
      <c r="K269" s="277"/>
      <c r="L269" s="277"/>
      <c r="M269" s="277"/>
      <c r="N269" s="277"/>
      <c r="O269" s="277"/>
      <c r="P269" s="277"/>
      <c r="Q269" s="277"/>
      <c r="R269" s="307"/>
      <c r="S269" s="277"/>
      <c r="T269" s="277"/>
      <c r="U269" s="277"/>
      <c r="V269" s="277"/>
      <c r="W269" s="277"/>
      <c r="X269" s="277"/>
      <c r="Y269" s="277"/>
      <c r="Z269" s="277"/>
      <c r="AA269" s="277"/>
      <c r="AB269" s="277"/>
      <c r="AC269" s="277"/>
      <c r="AD269" s="277"/>
      <c r="AE269" s="277"/>
      <c r="AF269" s="277"/>
      <c r="AG269" s="277"/>
      <c r="AH269" s="277"/>
      <c r="AI269" s="277"/>
      <c r="AJ269" s="277"/>
      <c r="AK269" s="277"/>
      <c r="AL269" s="277"/>
      <c r="AM269" s="277"/>
      <c r="AN269" s="277"/>
      <c r="AO269" s="277"/>
      <c r="AP269" s="277"/>
      <c r="AQ269" s="277"/>
      <c r="AR269" s="277"/>
      <c r="AS269" s="277"/>
      <c r="AT269" s="277"/>
      <c r="AU269" s="277"/>
      <c r="AV269" s="75"/>
      <c r="AW269" s="75"/>
      <c r="AX269" s="75"/>
      <c r="AY269" s="75"/>
      <c r="AZ269" s="75"/>
      <c r="BA269" s="75"/>
      <c r="BB269" s="75"/>
      <c r="BC269" s="75"/>
      <c r="BD269" s="75"/>
      <c r="BE269" s="75"/>
      <c r="BF269" s="75"/>
      <c r="BG269" s="75"/>
      <c r="BH269" s="75"/>
      <c r="BI269" s="75"/>
      <c r="BJ269" s="75"/>
      <c r="BK269" s="75"/>
      <c r="BL269" s="75"/>
      <c r="BM269" s="75"/>
      <c r="BN269" s="75"/>
      <c r="BO269" s="75"/>
      <c r="BP269" s="75"/>
      <c r="BQ269" s="75"/>
      <c r="BR269" s="75"/>
      <c r="BS269" s="75"/>
      <c r="BT269" s="75"/>
      <c r="BU269" s="75"/>
      <c r="BV269" s="75"/>
    </row>
    <row r="270" spans="1:74" s="8" customFormat="1" ht="13.5" customHeight="1">
      <c r="A270" s="69"/>
      <c r="B270" s="71"/>
      <c r="C270" s="71"/>
      <c r="D270" s="78" t="s">
        <v>355</v>
      </c>
      <c r="E270" s="71"/>
      <c r="F270" s="118"/>
      <c r="G270" s="73"/>
      <c r="H270" s="73"/>
      <c r="I270" s="106"/>
      <c r="J270" s="306"/>
      <c r="K270" s="277"/>
      <c r="L270" s="277"/>
      <c r="M270" s="277"/>
      <c r="N270" s="277"/>
      <c r="O270" s="277"/>
      <c r="P270" s="277"/>
      <c r="Q270" s="277"/>
      <c r="R270" s="307"/>
      <c r="S270" s="277"/>
      <c r="T270" s="277"/>
      <c r="U270" s="277"/>
      <c r="V270" s="277"/>
      <c r="W270" s="277"/>
      <c r="X270" s="277"/>
      <c r="Y270" s="277"/>
      <c r="Z270" s="277"/>
      <c r="AA270" s="277"/>
      <c r="AB270" s="277"/>
      <c r="AC270" s="277"/>
      <c r="AD270" s="277"/>
      <c r="AE270" s="277"/>
      <c r="AF270" s="277"/>
      <c r="AG270" s="277"/>
      <c r="AH270" s="277"/>
      <c r="AI270" s="277"/>
      <c r="AJ270" s="277"/>
      <c r="AK270" s="277"/>
      <c r="AL270" s="277"/>
      <c r="AM270" s="277"/>
      <c r="AN270" s="277"/>
      <c r="AO270" s="277"/>
      <c r="AP270" s="277"/>
      <c r="AQ270" s="277"/>
      <c r="AR270" s="277"/>
      <c r="AS270" s="277"/>
      <c r="AT270" s="277"/>
      <c r="AU270" s="277"/>
      <c r="AV270" s="75"/>
      <c r="AW270" s="75"/>
      <c r="AX270" s="75"/>
      <c r="AY270" s="75"/>
      <c r="AZ270" s="75"/>
      <c r="BA270" s="75"/>
      <c r="BB270" s="75"/>
      <c r="BC270" s="75"/>
      <c r="BD270" s="75"/>
      <c r="BE270" s="75"/>
      <c r="BF270" s="75"/>
      <c r="BG270" s="75"/>
      <c r="BH270" s="75"/>
      <c r="BI270" s="75"/>
      <c r="BJ270" s="75"/>
      <c r="BK270" s="75"/>
      <c r="BL270" s="75"/>
      <c r="BM270" s="75"/>
      <c r="BN270" s="75"/>
      <c r="BO270" s="75"/>
      <c r="BP270" s="75"/>
      <c r="BQ270" s="75"/>
      <c r="BR270" s="75"/>
      <c r="BS270" s="75"/>
      <c r="BT270" s="75"/>
      <c r="BU270" s="75"/>
      <c r="BV270" s="75"/>
    </row>
    <row r="271" spans="1:74" s="8" customFormat="1" ht="13.5" customHeight="1">
      <c r="A271" s="69">
        <v>50</v>
      </c>
      <c r="B271" s="70" t="s">
        <v>83</v>
      </c>
      <c r="C271" s="71" t="s">
        <v>268</v>
      </c>
      <c r="D271" s="71" t="s">
        <v>269</v>
      </c>
      <c r="E271" s="71" t="s">
        <v>60</v>
      </c>
      <c r="F271" s="105">
        <f>SUM(F272:F275)</f>
        <v>11</v>
      </c>
      <c r="G271" s="73"/>
      <c r="H271" s="73">
        <f>F271*G271</f>
        <v>0</v>
      </c>
      <c r="I271" s="106" t="s">
        <v>50</v>
      </c>
      <c r="J271" s="341"/>
      <c r="K271" s="305"/>
      <c r="L271" s="300"/>
      <c r="M271" s="301"/>
      <c r="N271" s="302"/>
      <c r="O271" s="303"/>
      <c r="P271" s="305"/>
      <c r="Q271" s="305"/>
      <c r="R271" s="277"/>
      <c r="S271" s="277"/>
      <c r="T271" s="277"/>
      <c r="U271" s="277"/>
      <c r="V271" s="277"/>
      <c r="W271" s="277"/>
      <c r="X271" s="277"/>
      <c r="Y271" s="277"/>
      <c r="Z271" s="277"/>
      <c r="AA271" s="277"/>
      <c r="AB271" s="277"/>
      <c r="AC271" s="277"/>
      <c r="AD271" s="277"/>
      <c r="AE271" s="277"/>
      <c r="AF271" s="277"/>
      <c r="AG271" s="277"/>
      <c r="AH271" s="277"/>
      <c r="AI271" s="277"/>
      <c r="AJ271" s="277"/>
      <c r="AK271" s="277"/>
      <c r="AL271" s="277"/>
      <c r="AM271" s="277"/>
      <c r="AN271" s="277"/>
      <c r="AO271" s="277"/>
      <c r="AP271" s="277"/>
      <c r="AQ271" s="277"/>
      <c r="AR271" s="277"/>
      <c r="AS271" s="277"/>
      <c r="AT271" s="277"/>
      <c r="AU271" s="277"/>
      <c r="AV271" s="75"/>
      <c r="AW271" s="75"/>
      <c r="AX271" s="75"/>
      <c r="AY271" s="75"/>
      <c r="AZ271" s="75"/>
      <c r="BA271" s="75"/>
      <c r="BB271" s="75"/>
      <c r="BC271" s="75"/>
      <c r="BD271" s="75"/>
      <c r="BE271" s="75"/>
      <c r="BF271" s="75"/>
      <c r="BG271" s="75"/>
      <c r="BH271" s="75"/>
      <c r="BI271" s="75"/>
      <c r="BJ271" s="75"/>
      <c r="BK271" s="75"/>
      <c r="BL271" s="75"/>
      <c r="BM271" s="75"/>
      <c r="BN271" s="75"/>
      <c r="BO271" s="75"/>
      <c r="BP271" s="75"/>
      <c r="BQ271" s="75"/>
      <c r="BR271" s="75"/>
      <c r="BS271" s="75"/>
      <c r="BT271" s="75"/>
      <c r="BU271" s="75"/>
      <c r="BV271" s="75"/>
    </row>
    <row r="272" spans="1:74" s="8" customFormat="1" ht="13.5" customHeight="1">
      <c r="A272" s="69"/>
      <c r="B272" s="71"/>
      <c r="C272" s="71"/>
      <c r="D272" s="78" t="s">
        <v>256</v>
      </c>
      <c r="E272" s="71"/>
      <c r="F272" s="79">
        <v>3</v>
      </c>
      <c r="G272" s="73"/>
      <c r="H272" s="73"/>
      <c r="I272" s="106"/>
      <c r="J272" s="277"/>
      <c r="K272" s="277"/>
      <c r="L272" s="277"/>
      <c r="M272" s="277"/>
      <c r="N272" s="277"/>
      <c r="O272" s="277"/>
      <c r="P272" s="277"/>
      <c r="Q272" s="277"/>
      <c r="R272" s="307"/>
      <c r="S272" s="277"/>
      <c r="T272" s="277"/>
      <c r="U272" s="277"/>
      <c r="V272" s="277"/>
      <c r="W272" s="277"/>
      <c r="X272" s="277"/>
      <c r="Y272" s="277"/>
      <c r="Z272" s="277"/>
      <c r="AA272" s="277"/>
      <c r="AB272" s="277"/>
      <c r="AC272" s="277"/>
      <c r="AD272" s="277"/>
      <c r="AE272" s="277"/>
      <c r="AF272" s="277"/>
      <c r="AG272" s="277"/>
      <c r="AH272" s="277"/>
      <c r="AI272" s="277"/>
      <c r="AJ272" s="277"/>
      <c r="AK272" s="277"/>
      <c r="AL272" s="277"/>
      <c r="AM272" s="277"/>
      <c r="AN272" s="277"/>
      <c r="AO272" s="277"/>
      <c r="AP272" s="277"/>
      <c r="AQ272" s="277"/>
      <c r="AR272" s="277"/>
      <c r="AS272" s="277"/>
      <c r="AT272" s="277"/>
      <c r="AU272" s="277"/>
      <c r="AV272" s="75"/>
      <c r="AW272" s="75"/>
      <c r="AX272" s="75"/>
      <c r="AY272" s="75"/>
      <c r="AZ272" s="75"/>
      <c r="BA272" s="75"/>
      <c r="BB272" s="75"/>
      <c r="BC272" s="75"/>
      <c r="BD272" s="75"/>
      <c r="BE272" s="75"/>
      <c r="BF272" s="75"/>
      <c r="BG272" s="75"/>
      <c r="BH272" s="75"/>
      <c r="BI272" s="75"/>
      <c r="BJ272" s="75"/>
      <c r="BK272" s="75"/>
      <c r="BL272" s="75"/>
      <c r="BM272" s="75"/>
      <c r="BN272" s="75"/>
      <c r="BO272" s="75"/>
      <c r="BP272" s="75"/>
      <c r="BQ272" s="75"/>
      <c r="BR272" s="75"/>
      <c r="BS272" s="75"/>
      <c r="BT272" s="75"/>
      <c r="BU272" s="75"/>
      <c r="BV272" s="75"/>
    </row>
    <row r="273" spans="1:74" s="8" customFormat="1" ht="13.5" customHeight="1">
      <c r="A273" s="69"/>
      <c r="B273" s="71"/>
      <c r="C273" s="71"/>
      <c r="D273" s="78" t="s">
        <v>257</v>
      </c>
      <c r="E273" s="71"/>
      <c r="F273" s="79">
        <v>3</v>
      </c>
      <c r="G273" s="73"/>
      <c r="H273" s="73"/>
      <c r="I273" s="106"/>
      <c r="J273" s="277"/>
      <c r="K273" s="277"/>
      <c r="L273" s="277"/>
      <c r="M273" s="277"/>
      <c r="N273" s="277"/>
      <c r="O273" s="277"/>
      <c r="P273" s="277"/>
      <c r="Q273" s="277"/>
      <c r="R273" s="307"/>
      <c r="S273" s="277"/>
      <c r="T273" s="277"/>
      <c r="U273" s="277"/>
      <c r="V273" s="277"/>
      <c r="W273" s="277"/>
      <c r="X273" s="277"/>
      <c r="Y273" s="277"/>
      <c r="Z273" s="277"/>
      <c r="AA273" s="277"/>
      <c r="AB273" s="277"/>
      <c r="AC273" s="277"/>
      <c r="AD273" s="277"/>
      <c r="AE273" s="277"/>
      <c r="AF273" s="277"/>
      <c r="AG273" s="277"/>
      <c r="AH273" s="277"/>
      <c r="AI273" s="277"/>
      <c r="AJ273" s="277"/>
      <c r="AK273" s="277"/>
      <c r="AL273" s="277"/>
      <c r="AM273" s="277"/>
      <c r="AN273" s="277"/>
      <c r="AO273" s="277"/>
      <c r="AP273" s="277"/>
      <c r="AQ273" s="277"/>
      <c r="AR273" s="277"/>
      <c r="AS273" s="277"/>
      <c r="AT273" s="277"/>
      <c r="AU273" s="277"/>
      <c r="AV273" s="75"/>
      <c r="AW273" s="75"/>
      <c r="AX273" s="75"/>
      <c r="AY273" s="75"/>
      <c r="AZ273" s="75"/>
      <c r="BA273" s="75"/>
      <c r="BB273" s="75"/>
      <c r="BC273" s="75"/>
      <c r="BD273" s="75"/>
      <c r="BE273" s="75"/>
      <c r="BF273" s="75"/>
      <c r="BG273" s="75"/>
      <c r="BH273" s="75"/>
      <c r="BI273" s="75"/>
      <c r="BJ273" s="75"/>
      <c r="BK273" s="75"/>
      <c r="BL273" s="75"/>
      <c r="BM273" s="75"/>
      <c r="BN273" s="75"/>
      <c r="BO273" s="75"/>
      <c r="BP273" s="75"/>
      <c r="BQ273" s="75"/>
      <c r="BR273" s="75"/>
      <c r="BS273" s="75"/>
      <c r="BT273" s="75"/>
      <c r="BU273" s="75"/>
      <c r="BV273" s="75"/>
    </row>
    <row r="274" spans="1:74" s="8" customFormat="1" ht="13.5" customHeight="1">
      <c r="A274" s="69"/>
      <c r="B274" s="71"/>
      <c r="C274" s="71"/>
      <c r="D274" s="78" t="s">
        <v>258</v>
      </c>
      <c r="E274" s="71"/>
      <c r="F274" s="79">
        <v>3</v>
      </c>
      <c r="G274" s="73"/>
      <c r="H274" s="73"/>
      <c r="I274" s="106"/>
      <c r="J274" s="277"/>
      <c r="K274" s="277"/>
      <c r="L274" s="277"/>
      <c r="M274" s="277"/>
      <c r="N274" s="277"/>
      <c r="O274" s="277"/>
      <c r="P274" s="277"/>
      <c r="Q274" s="277"/>
      <c r="R274" s="307"/>
      <c r="S274" s="277"/>
      <c r="T274" s="277"/>
      <c r="U274" s="277"/>
      <c r="V274" s="277"/>
      <c r="W274" s="277"/>
      <c r="X274" s="277"/>
      <c r="Y274" s="277"/>
      <c r="Z274" s="277"/>
      <c r="AA274" s="277"/>
      <c r="AB274" s="277"/>
      <c r="AC274" s="277"/>
      <c r="AD274" s="277"/>
      <c r="AE274" s="277"/>
      <c r="AF274" s="277"/>
      <c r="AG274" s="277"/>
      <c r="AH274" s="277"/>
      <c r="AI274" s="277"/>
      <c r="AJ274" s="277"/>
      <c r="AK274" s="277"/>
      <c r="AL274" s="277"/>
      <c r="AM274" s="277"/>
      <c r="AN274" s="277"/>
      <c r="AO274" s="277"/>
      <c r="AP274" s="277"/>
      <c r="AQ274" s="277"/>
      <c r="AR274" s="277"/>
      <c r="AS274" s="277"/>
      <c r="AT274" s="277"/>
      <c r="AU274" s="277"/>
      <c r="AV274" s="75"/>
      <c r="AW274" s="75"/>
      <c r="AX274" s="75"/>
      <c r="AY274" s="75"/>
      <c r="AZ274" s="75"/>
      <c r="BA274" s="75"/>
      <c r="BB274" s="75"/>
      <c r="BC274" s="75"/>
      <c r="BD274" s="75"/>
      <c r="BE274" s="75"/>
      <c r="BF274" s="75"/>
      <c r="BG274" s="75"/>
      <c r="BH274" s="75"/>
      <c r="BI274" s="75"/>
      <c r="BJ274" s="75"/>
      <c r="BK274" s="75"/>
      <c r="BL274" s="75"/>
      <c r="BM274" s="75"/>
      <c r="BN274" s="75"/>
      <c r="BO274" s="75"/>
      <c r="BP274" s="75"/>
      <c r="BQ274" s="75"/>
      <c r="BR274" s="75"/>
      <c r="BS274" s="75"/>
      <c r="BT274" s="75"/>
      <c r="BU274" s="75"/>
      <c r="BV274" s="75"/>
    </row>
    <row r="275" spans="1:74" s="8" customFormat="1" ht="13.5" customHeight="1">
      <c r="A275" s="69"/>
      <c r="B275" s="71"/>
      <c r="C275" s="71"/>
      <c r="D275" s="78" t="s">
        <v>259</v>
      </c>
      <c r="E275" s="71"/>
      <c r="F275" s="79">
        <v>2</v>
      </c>
      <c r="G275" s="73"/>
      <c r="H275" s="73"/>
      <c r="I275" s="106"/>
      <c r="J275" s="277"/>
      <c r="K275" s="277"/>
      <c r="L275" s="277"/>
      <c r="M275" s="277"/>
      <c r="N275" s="277"/>
      <c r="O275" s="277"/>
      <c r="P275" s="277"/>
      <c r="Q275" s="277"/>
      <c r="R275" s="307"/>
      <c r="S275" s="277"/>
      <c r="T275" s="277"/>
      <c r="U275" s="277"/>
      <c r="V275" s="277"/>
      <c r="W275" s="277"/>
      <c r="X275" s="277"/>
      <c r="Y275" s="277"/>
      <c r="Z275" s="277"/>
      <c r="AA275" s="277"/>
      <c r="AB275" s="277"/>
      <c r="AC275" s="277"/>
      <c r="AD275" s="277"/>
      <c r="AE275" s="277"/>
      <c r="AF275" s="277"/>
      <c r="AG275" s="277"/>
      <c r="AH275" s="277"/>
      <c r="AI275" s="277"/>
      <c r="AJ275" s="277"/>
      <c r="AK275" s="277"/>
      <c r="AL275" s="277"/>
      <c r="AM275" s="277"/>
      <c r="AN275" s="277"/>
      <c r="AO275" s="277"/>
      <c r="AP275" s="277"/>
      <c r="AQ275" s="277"/>
      <c r="AR275" s="277"/>
      <c r="AS275" s="277"/>
      <c r="AT275" s="277"/>
      <c r="AU275" s="277"/>
      <c r="AV275" s="75"/>
      <c r="AW275" s="75"/>
      <c r="AX275" s="75"/>
      <c r="AY275" s="75"/>
      <c r="AZ275" s="75"/>
      <c r="BA275" s="75"/>
      <c r="BB275" s="75"/>
      <c r="BC275" s="75"/>
      <c r="BD275" s="75"/>
      <c r="BE275" s="75"/>
      <c r="BF275" s="75"/>
      <c r="BG275" s="75"/>
      <c r="BH275" s="75"/>
      <c r="BI275" s="75"/>
      <c r="BJ275" s="75"/>
      <c r="BK275" s="75"/>
      <c r="BL275" s="75"/>
      <c r="BM275" s="75"/>
      <c r="BN275" s="75"/>
      <c r="BO275" s="75"/>
      <c r="BP275" s="75"/>
      <c r="BQ275" s="75"/>
      <c r="BR275" s="75"/>
      <c r="BS275" s="75"/>
      <c r="BT275" s="75"/>
      <c r="BU275" s="75"/>
      <c r="BV275" s="75"/>
    </row>
    <row r="276" spans="1:74" s="8" customFormat="1" ht="40.5" customHeight="1">
      <c r="A276" s="69"/>
      <c r="B276" s="71"/>
      <c r="C276" s="71"/>
      <c r="D276" s="78" t="s">
        <v>270</v>
      </c>
      <c r="E276" s="71"/>
      <c r="F276" s="118"/>
      <c r="G276" s="73"/>
      <c r="H276" s="73"/>
      <c r="I276" s="106"/>
      <c r="J276" s="306"/>
      <c r="K276" s="277"/>
      <c r="L276" s="277"/>
      <c r="M276" s="277"/>
      <c r="N276" s="277"/>
      <c r="O276" s="277"/>
      <c r="P276" s="277"/>
      <c r="Q276" s="277"/>
      <c r="R276" s="307"/>
      <c r="S276" s="277"/>
      <c r="T276" s="277"/>
      <c r="U276" s="277"/>
      <c r="V276" s="277"/>
      <c r="W276" s="277"/>
      <c r="X276" s="277"/>
      <c r="Y276" s="277"/>
      <c r="Z276" s="277"/>
      <c r="AA276" s="277"/>
      <c r="AB276" s="277"/>
      <c r="AC276" s="277"/>
      <c r="AD276" s="277"/>
      <c r="AE276" s="277"/>
      <c r="AF276" s="277"/>
      <c r="AG276" s="277"/>
      <c r="AH276" s="277"/>
      <c r="AI276" s="277"/>
      <c r="AJ276" s="277"/>
      <c r="AK276" s="277"/>
      <c r="AL276" s="277"/>
      <c r="AM276" s="277"/>
      <c r="AN276" s="277"/>
      <c r="AO276" s="277"/>
      <c r="AP276" s="277"/>
      <c r="AQ276" s="277"/>
      <c r="AR276" s="277"/>
      <c r="AS276" s="277"/>
      <c r="AT276" s="277"/>
      <c r="AU276" s="277"/>
      <c r="AV276" s="75"/>
      <c r="AW276" s="75"/>
      <c r="AX276" s="75"/>
      <c r="AY276" s="75"/>
      <c r="AZ276" s="75"/>
      <c r="BA276" s="75"/>
      <c r="BB276" s="75"/>
      <c r="BC276" s="75"/>
      <c r="BD276" s="75"/>
      <c r="BE276" s="75"/>
      <c r="BF276" s="75"/>
      <c r="BG276" s="75"/>
      <c r="BH276" s="75"/>
      <c r="BI276" s="75"/>
      <c r="BJ276" s="75"/>
      <c r="BK276" s="75"/>
      <c r="BL276" s="75"/>
      <c r="BM276" s="75"/>
      <c r="BN276" s="75"/>
      <c r="BO276" s="75"/>
      <c r="BP276" s="75"/>
      <c r="BQ276" s="75"/>
      <c r="BR276" s="75"/>
      <c r="BS276" s="75"/>
      <c r="BT276" s="75"/>
      <c r="BU276" s="75"/>
      <c r="BV276" s="75"/>
    </row>
    <row r="277" spans="1:74" s="8" customFormat="1" ht="13.5" customHeight="1">
      <c r="A277" s="69">
        <v>51</v>
      </c>
      <c r="B277" s="70" t="s">
        <v>83</v>
      </c>
      <c r="C277" s="71" t="s">
        <v>271</v>
      </c>
      <c r="D277" s="71" t="s">
        <v>272</v>
      </c>
      <c r="E277" s="71" t="s">
        <v>60</v>
      </c>
      <c r="F277" s="105">
        <f>SUM(F278:F285)</f>
        <v>19</v>
      </c>
      <c r="G277" s="73"/>
      <c r="H277" s="73">
        <f>F277*G277</f>
        <v>0</v>
      </c>
      <c r="I277" s="106" t="s">
        <v>50</v>
      </c>
      <c r="J277" s="341"/>
      <c r="K277" s="305"/>
      <c r="L277" s="300"/>
      <c r="M277" s="301"/>
      <c r="N277" s="302"/>
      <c r="O277" s="303"/>
      <c r="P277" s="305"/>
      <c r="Q277" s="305"/>
      <c r="R277" s="277"/>
      <c r="S277" s="277"/>
      <c r="T277" s="277"/>
      <c r="U277" s="277"/>
      <c r="V277" s="277"/>
      <c r="W277" s="277"/>
      <c r="X277" s="277"/>
      <c r="Y277" s="277"/>
      <c r="Z277" s="277"/>
      <c r="AA277" s="277"/>
      <c r="AB277" s="277"/>
      <c r="AC277" s="277"/>
      <c r="AD277" s="277"/>
      <c r="AE277" s="277"/>
      <c r="AF277" s="277"/>
      <c r="AG277" s="277"/>
      <c r="AH277" s="277"/>
      <c r="AI277" s="277"/>
      <c r="AJ277" s="277"/>
      <c r="AK277" s="277"/>
      <c r="AL277" s="277"/>
      <c r="AM277" s="277"/>
      <c r="AN277" s="277"/>
      <c r="AO277" s="277"/>
      <c r="AP277" s="277"/>
      <c r="AQ277" s="277"/>
      <c r="AR277" s="277"/>
      <c r="AS277" s="277"/>
      <c r="AT277" s="277"/>
      <c r="AU277" s="277"/>
      <c r="AV277" s="75"/>
      <c r="AW277" s="75"/>
      <c r="AX277" s="75"/>
      <c r="AY277" s="75"/>
      <c r="AZ277" s="75"/>
      <c r="BA277" s="75"/>
      <c r="BB277" s="75"/>
      <c r="BC277" s="75"/>
      <c r="BD277" s="75"/>
      <c r="BE277" s="75"/>
      <c r="BF277" s="75"/>
      <c r="BG277" s="75"/>
      <c r="BH277" s="75"/>
      <c r="BI277" s="75"/>
      <c r="BJ277" s="75"/>
      <c r="BK277" s="75"/>
      <c r="BL277" s="75"/>
      <c r="BM277" s="75"/>
      <c r="BN277" s="75"/>
      <c r="BO277" s="75"/>
      <c r="BP277" s="75"/>
      <c r="BQ277" s="75"/>
      <c r="BR277" s="75"/>
      <c r="BS277" s="75"/>
      <c r="BT277" s="75"/>
      <c r="BU277" s="75"/>
      <c r="BV277" s="75"/>
    </row>
    <row r="278" spans="1:74" s="8" customFormat="1" ht="13.5" customHeight="1">
      <c r="A278" s="69"/>
      <c r="B278" s="71"/>
      <c r="C278" s="71"/>
      <c r="D278" s="78" t="s">
        <v>255</v>
      </c>
      <c r="E278" s="71"/>
      <c r="F278" s="79">
        <v>2</v>
      </c>
      <c r="G278" s="73"/>
      <c r="H278" s="73"/>
      <c r="I278" s="106"/>
      <c r="J278" s="305"/>
      <c r="K278" s="277"/>
      <c r="L278" s="277"/>
      <c r="M278" s="277"/>
      <c r="N278" s="277"/>
      <c r="O278" s="277"/>
      <c r="P278" s="277"/>
      <c r="Q278" s="277"/>
      <c r="R278" s="307"/>
      <c r="S278" s="277"/>
      <c r="T278" s="277"/>
      <c r="U278" s="277"/>
      <c r="V278" s="277"/>
      <c r="W278" s="277"/>
      <c r="X278" s="277"/>
      <c r="Y278" s="277"/>
      <c r="Z278" s="277"/>
      <c r="AA278" s="277"/>
      <c r="AB278" s="277"/>
      <c r="AC278" s="277"/>
      <c r="AD278" s="277"/>
      <c r="AE278" s="277"/>
      <c r="AF278" s="277"/>
      <c r="AG278" s="277"/>
      <c r="AH278" s="277"/>
      <c r="AI278" s="277"/>
      <c r="AJ278" s="277"/>
      <c r="AK278" s="277"/>
      <c r="AL278" s="277"/>
      <c r="AM278" s="277"/>
      <c r="AN278" s="277"/>
      <c r="AO278" s="277"/>
      <c r="AP278" s="277"/>
      <c r="AQ278" s="277"/>
      <c r="AR278" s="277"/>
      <c r="AS278" s="277"/>
      <c r="AT278" s="277"/>
      <c r="AU278" s="277"/>
      <c r="AV278" s="75"/>
      <c r="AW278" s="75"/>
      <c r="AX278" s="75"/>
      <c r="AY278" s="75"/>
      <c r="AZ278" s="75"/>
      <c r="BA278" s="75"/>
      <c r="BB278" s="75"/>
      <c r="BC278" s="75"/>
      <c r="BD278" s="75"/>
      <c r="BE278" s="75"/>
      <c r="BF278" s="75"/>
      <c r="BG278" s="75"/>
      <c r="BH278" s="75"/>
      <c r="BI278" s="75"/>
      <c r="BJ278" s="75"/>
      <c r="BK278" s="75"/>
      <c r="BL278" s="75"/>
      <c r="BM278" s="75"/>
      <c r="BN278" s="75"/>
      <c r="BO278" s="75"/>
      <c r="BP278" s="75"/>
      <c r="BQ278" s="75"/>
      <c r="BR278" s="75"/>
      <c r="BS278" s="75"/>
      <c r="BT278" s="75"/>
      <c r="BU278" s="75"/>
      <c r="BV278" s="75"/>
    </row>
    <row r="279" spans="1:74" s="8" customFormat="1" ht="13.5" customHeight="1">
      <c r="A279" s="69"/>
      <c r="B279" s="71"/>
      <c r="C279" s="71"/>
      <c r="D279" s="78" t="s">
        <v>256</v>
      </c>
      <c r="E279" s="71"/>
      <c r="F279" s="79">
        <v>3</v>
      </c>
      <c r="G279" s="73"/>
      <c r="H279" s="73"/>
      <c r="I279" s="106"/>
      <c r="J279" s="305"/>
      <c r="K279" s="277"/>
      <c r="L279" s="277"/>
      <c r="M279" s="277"/>
      <c r="N279" s="277"/>
      <c r="O279" s="277"/>
      <c r="P279" s="277"/>
      <c r="Q279" s="277"/>
      <c r="R279" s="307"/>
      <c r="S279" s="277"/>
      <c r="T279" s="277"/>
      <c r="U279" s="277"/>
      <c r="V279" s="277"/>
      <c r="W279" s="277"/>
      <c r="X279" s="277"/>
      <c r="Y279" s="277"/>
      <c r="Z279" s="277"/>
      <c r="AA279" s="277"/>
      <c r="AB279" s="277"/>
      <c r="AC279" s="277"/>
      <c r="AD279" s="277"/>
      <c r="AE279" s="277"/>
      <c r="AF279" s="277"/>
      <c r="AG279" s="277"/>
      <c r="AH279" s="277"/>
      <c r="AI279" s="277"/>
      <c r="AJ279" s="277"/>
      <c r="AK279" s="277"/>
      <c r="AL279" s="277"/>
      <c r="AM279" s="277"/>
      <c r="AN279" s="277"/>
      <c r="AO279" s="277"/>
      <c r="AP279" s="277"/>
      <c r="AQ279" s="277"/>
      <c r="AR279" s="277"/>
      <c r="AS279" s="277"/>
      <c r="AT279" s="277"/>
      <c r="AU279" s="277"/>
      <c r="AV279" s="75"/>
      <c r="AW279" s="75"/>
      <c r="AX279" s="75"/>
      <c r="AY279" s="75"/>
      <c r="AZ279" s="75"/>
      <c r="BA279" s="75"/>
      <c r="BB279" s="75"/>
      <c r="BC279" s="75"/>
      <c r="BD279" s="75"/>
      <c r="BE279" s="75"/>
      <c r="BF279" s="75"/>
      <c r="BG279" s="75"/>
      <c r="BH279" s="75"/>
      <c r="BI279" s="75"/>
      <c r="BJ279" s="75"/>
      <c r="BK279" s="75"/>
      <c r="BL279" s="75"/>
      <c r="BM279" s="75"/>
      <c r="BN279" s="75"/>
      <c r="BO279" s="75"/>
      <c r="BP279" s="75"/>
      <c r="BQ279" s="75"/>
      <c r="BR279" s="75"/>
      <c r="BS279" s="75"/>
      <c r="BT279" s="75"/>
      <c r="BU279" s="75"/>
      <c r="BV279" s="75"/>
    </row>
    <row r="280" spans="1:74" s="8" customFormat="1" ht="13.5" customHeight="1">
      <c r="A280" s="69"/>
      <c r="B280" s="71"/>
      <c r="C280" s="71"/>
      <c r="D280" s="78" t="s">
        <v>273</v>
      </c>
      <c r="E280" s="71"/>
      <c r="F280" s="79">
        <v>1</v>
      </c>
      <c r="G280" s="73"/>
      <c r="H280" s="73"/>
      <c r="I280" s="106"/>
      <c r="J280" s="305"/>
      <c r="K280" s="277"/>
      <c r="L280" s="277"/>
      <c r="M280" s="277"/>
      <c r="N280" s="277"/>
      <c r="O280" s="277"/>
      <c r="P280" s="277"/>
      <c r="Q280" s="277"/>
      <c r="R280" s="307"/>
      <c r="S280" s="277"/>
      <c r="T280" s="277"/>
      <c r="U280" s="277"/>
      <c r="V280" s="277"/>
      <c r="W280" s="277"/>
      <c r="X280" s="277"/>
      <c r="Y280" s="277"/>
      <c r="Z280" s="277"/>
      <c r="AA280" s="277"/>
      <c r="AB280" s="277"/>
      <c r="AC280" s="277"/>
      <c r="AD280" s="277"/>
      <c r="AE280" s="277"/>
      <c r="AF280" s="277"/>
      <c r="AG280" s="277"/>
      <c r="AH280" s="277"/>
      <c r="AI280" s="277"/>
      <c r="AJ280" s="277"/>
      <c r="AK280" s="277"/>
      <c r="AL280" s="277"/>
      <c r="AM280" s="277"/>
      <c r="AN280" s="277"/>
      <c r="AO280" s="277"/>
      <c r="AP280" s="277"/>
      <c r="AQ280" s="277"/>
      <c r="AR280" s="277"/>
      <c r="AS280" s="277"/>
      <c r="AT280" s="277"/>
      <c r="AU280" s="277"/>
      <c r="AV280" s="75"/>
      <c r="AW280" s="75"/>
      <c r="AX280" s="75"/>
      <c r="AY280" s="75"/>
      <c r="AZ280" s="75"/>
      <c r="BA280" s="75"/>
      <c r="BB280" s="75"/>
      <c r="BC280" s="75"/>
      <c r="BD280" s="75"/>
      <c r="BE280" s="75"/>
      <c r="BF280" s="75"/>
      <c r="BG280" s="75"/>
      <c r="BH280" s="75"/>
      <c r="BI280" s="75"/>
      <c r="BJ280" s="75"/>
      <c r="BK280" s="75"/>
      <c r="BL280" s="75"/>
      <c r="BM280" s="75"/>
      <c r="BN280" s="75"/>
      <c r="BO280" s="75"/>
      <c r="BP280" s="75"/>
      <c r="BQ280" s="75"/>
      <c r="BR280" s="75"/>
      <c r="BS280" s="75"/>
      <c r="BT280" s="75"/>
      <c r="BU280" s="75"/>
      <c r="BV280" s="75"/>
    </row>
    <row r="281" spans="1:74" s="8" customFormat="1" ht="13.5" customHeight="1">
      <c r="A281" s="69"/>
      <c r="B281" s="71"/>
      <c r="C281" s="71"/>
      <c r="D281" s="78" t="s">
        <v>257</v>
      </c>
      <c r="E281" s="71"/>
      <c r="F281" s="79">
        <v>3</v>
      </c>
      <c r="G281" s="73"/>
      <c r="H281" s="73"/>
      <c r="I281" s="106"/>
      <c r="J281" s="305"/>
      <c r="K281" s="277"/>
      <c r="L281" s="277"/>
      <c r="M281" s="277"/>
      <c r="N281" s="277"/>
      <c r="O281" s="277"/>
      <c r="P281" s="277"/>
      <c r="Q281" s="277"/>
      <c r="R281" s="307"/>
      <c r="S281" s="277"/>
      <c r="T281" s="277"/>
      <c r="U281" s="277"/>
      <c r="V281" s="277"/>
      <c r="W281" s="277"/>
      <c r="X281" s="277"/>
      <c r="Y281" s="277"/>
      <c r="Z281" s="277"/>
      <c r="AA281" s="277"/>
      <c r="AB281" s="277"/>
      <c r="AC281" s="277"/>
      <c r="AD281" s="277"/>
      <c r="AE281" s="277"/>
      <c r="AF281" s="277"/>
      <c r="AG281" s="277"/>
      <c r="AH281" s="277"/>
      <c r="AI281" s="277"/>
      <c r="AJ281" s="277"/>
      <c r="AK281" s="277"/>
      <c r="AL281" s="277"/>
      <c r="AM281" s="277"/>
      <c r="AN281" s="277"/>
      <c r="AO281" s="277"/>
      <c r="AP281" s="277"/>
      <c r="AQ281" s="277"/>
      <c r="AR281" s="277"/>
      <c r="AS281" s="277"/>
      <c r="AT281" s="277"/>
      <c r="AU281" s="277"/>
      <c r="AV281" s="75"/>
      <c r="AW281" s="75"/>
      <c r="AX281" s="75"/>
      <c r="AY281" s="75"/>
      <c r="AZ281" s="75"/>
      <c r="BA281" s="75"/>
      <c r="BB281" s="75"/>
      <c r="BC281" s="75"/>
      <c r="BD281" s="75"/>
      <c r="BE281" s="75"/>
      <c r="BF281" s="75"/>
      <c r="BG281" s="75"/>
      <c r="BH281" s="75"/>
      <c r="BI281" s="75"/>
      <c r="BJ281" s="75"/>
      <c r="BK281" s="75"/>
      <c r="BL281" s="75"/>
      <c r="BM281" s="75"/>
      <c r="BN281" s="75"/>
      <c r="BO281" s="75"/>
      <c r="BP281" s="75"/>
      <c r="BQ281" s="75"/>
      <c r="BR281" s="75"/>
      <c r="BS281" s="75"/>
      <c r="BT281" s="75"/>
      <c r="BU281" s="75"/>
      <c r="BV281" s="75"/>
    </row>
    <row r="282" spans="1:74" s="8" customFormat="1" ht="13.5" customHeight="1">
      <c r="A282" s="69"/>
      <c r="B282" s="71"/>
      <c r="C282" s="71"/>
      <c r="D282" s="78" t="s">
        <v>274</v>
      </c>
      <c r="E282" s="71"/>
      <c r="F282" s="79">
        <v>1</v>
      </c>
      <c r="G282" s="73"/>
      <c r="H282" s="73"/>
      <c r="I282" s="106"/>
      <c r="J282" s="305"/>
      <c r="K282" s="277"/>
      <c r="L282" s="277"/>
      <c r="M282" s="277"/>
      <c r="N282" s="277"/>
      <c r="O282" s="277"/>
      <c r="P282" s="277"/>
      <c r="Q282" s="277"/>
      <c r="R282" s="307"/>
      <c r="S282" s="277"/>
      <c r="T282" s="277"/>
      <c r="U282" s="277"/>
      <c r="V282" s="277"/>
      <c r="W282" s="277"/>
      <c r="X282" s="277"/>
      <c r="Y282" s="277"/>
      <c r="Z282" s="277"/>
      <c r="AA282" s="277"/>
      <c r="AB282" s="277"/>
      <c r="AC282" s="277"/>
      <c r="AD282" s="277"/>
      <c r="AE282" s="277"/>
      <c r="AF282" s="277"/>
      <c r="AG282" s="277"/>
      <c r="AH282" s="277"/>
      <c r="AI282" s="277"/>
      <c r="AJ282" s="277"/>
      <c r="AK282" s="277"/>
      <c r="AL282" s="277"/>
      <c r="AM282" s="277"/>
      <c r="AN282" s="277"/>
      <c r="AO282" s="277"/>
      <c r="AP282" s="277"/>
      <c r="AQ282" s="277"/>
      <c r="AR282" s="277"/>
      <c r="AS282" s="277"/>
      <c r="AT282" s="277"/>
      <c r="AU282" s="277"/>
      <c r="AV282" s="75"/>
      <c r="AW282" s="75"/>
      <c r="AX282" s="75"/>
      <c r="AY282" s="75"/>
      <c r="AZ282" s="75"/>
      <c r="BA282" s="75"/>
      <c r="BB282" s="75"/>
      <c r="BC282" s="75"/>
      <c r="BD282" s="75"/>
      <c r="BE282" s="75"/>
      <c r="BF282" s="75"/>
      <c r="BG282" s="75"/>
      <c r="BH282" s="75"/>
      <c r="BI282" s="75"/>
      <c r="BJ282" s="75"/>
      <c r="BK282" s="75"/>
      <c r="BL282" s="75"/>
      <c r="BM282" s="75"/>
      <c r="BN282" s="75"/>
      <c r="BO282" s="75"/>
      <c r="BP282" s="75"/>
      <c r="BQ282" s="75"/>
      <c r="BR282" s="75"/>
      <c r="BS282" s="75"/>
      <c r="BT282" s="75"/>
      <c r="BU282" s="75"/>
      <c r="BV282" s="75"/>
    </row>
    <row r="283" spans="1:74" s="8" customFormat="1" ht="13.5" customHeight="1">
      <c r="A283" s="69"/>
      <c r="B283" s="71"/>
      <c r="C283" s="71"/>
      <c r="D283" s="78" t="s">
        <v>258</v>
      </c>
      <c r="E283" s="71"/>
      <c r="F283" s="79">
        <v>3</v>
      </c>
      <c r="G283" s="73"/>
      <c r="H283" s="73"/>
      <c r="I283" s="106"/>
      <c r="J283" s="305"/>
      <c r="K283" s="277"/>
      <c r="L283" s="277"/>
      <c r="M283" s="277"/>
      <c r="N283" s="277"/>
      <c r="O283" s="277"/>
      <c r="P283" s="277"/>
      <c r="Q283" s="277"/>
      <c r="R283" s="307"/>
      <c r="S283" s="277"/>
      <c r="T283" s="277"/>
      <c r="U283" s="277"/>
      <c r="V283" s="277"/>
      <c r="W283" s="277"/>
      <c r="X283" s="277"/>
      <c r="Y283" s="277"/>
      <c r="Z283" s="277"/>
      <c r="AA283" s="277"/>
      <c r="AB283" s="277"/>
      <c r="AC283" s="277"/>
      <c r="AD283" s="277"/>
      <c r="AE283" s="277"/>
      <c r="AF283" s="277"/>
      <c r="AG283" s="277"/>
      <c r="AH283" s="277"/>
      <c r="AI283" s="277"/>
      <c r="AJ283" s="277"/>
      <c r="AK283" s="277"/>
      <c r="AL283" s="277"/>
      <c r="AM283" s="277"/>
      <c r="AN283" s="277"/>
      <c r="AO283" s="277"/>
      <c r="AP283" s="277"/>
      <c r="AQ283" s="277"/>
      <c r="AR283" s="277"/>
      <c r="AS283" s="277"/>
      <c r="AT283" s="277"/>
      <c r="AU283" s="277"/>
      <c r="AV283" s="75"/>
      <c r="AW283" s="75"/>
      <c r="AX283" s="75"/>
      <c r="AY283" s="75"/>
      <c r="AZ283" s="75"/>
      <c r="BA283" s="75"/>
      <c r="BB283" s="75"/>
      <c r="BC283" s="75"/>
      <c r="BD283" s="75"/>
      <c r="BE283" s="75"/>
      <c r="BF283" s="75"/>
      <c r="BG283" s="75"/>
      <c r="BH283" s="75"/>
      <c r="BI283" s="75"/>
      <c r="BJ283" s="75"/>
      <c r="BK283" s="75"/>
      <c r="BL283" s="75"/>
      <c r="BM283" s="75"/>
      <c r="BN283" s="75"/>
      <c r="BO283" s="75"/>
      <c r="BP283" s="75"/>
      <c r="BQ283" s="75"/>
      <c r="BR283" s="75"/>
      <c r="BS283" s="75"/>
      <c r="BT283" s="75"/>
      <c r="BU283" s="75"/>
      <c r="BV283" s="75"/>
    </row>
    <row r="284" spans="1:74" s="8" customFormat="1" ht="13.5" customHeight="1">
      <c r="A284" s="69"/>
      <c r="B284" s="71"/>
      <c r="C284" s="71"/>
      <c r="D284" s="78" t="s">
        <v>275</v>
      </c>
      <c r="E284" s="71"/>
      <c r="F284" s="79">
        <v>1</v>
      </c>
      <c r="G284" s="73"/>
      <c r="H284" s="73"/>
      <c r="I284" s="106"/>
      <c r="J284" s="305"/>
      <c r="K284" s="277"/>
      <c r="L284" s="277"/>
      <c r="M284" s="277"/>
      <c r="N284" s="277"/>
      <c r="O284" s="277"/>
      <c r="P284" s="277"/>
      <c r="Q284" s="277"/>
      <c r="R284" s="307"/>
      <c r="S284" s="277"/>
      <c r="T284" s="277"/>
      <c r="U284" s="277"/>
      <c r="V284" s="277"/>
      <c r="W284" s="277"/>
      <c r="X284" s="277"/>
      <c r="Y284" s="277"/>
      <c r="Z284" s="277"/>
      <c r="AA284" s="277"/>
      <c r="AB284" s="277"/>
      <c r="AC284" s="277"/>
      <c r="AD284" s="277"/>
      <c r="AE284" s="277"/>
      <c r="AF284" s="277"/>
      <c r="AG284" s="277"/>
      <c r="AH284" s="277"/>
      <c r="AI284" s="277"/>
      <c r="AJ284" s="277"/>
      <c r="AK284" s="277"/>
      <c r="AL284" s="277"/>
      <c r="AM284" s="277"/>
      <c r="AN284" s="277"/>
      <c r="AO284" s="277"/>
      <c r="AP284" s="277"/>
      <c r="AQ284" s="277"/>
      <c r="AR284" s="277"/>
      <c r="AS284" s="277"/>
      <c r="AT284" s="277"/>
      <c r="AU284" s="277"/>
      <c r="AV284" s="75"/>
      <c r="AW284" s="75"/>
      <c r="AX284" s="75"/>
      <c r="AY284" s="75"/>
      <c r="AZ284" s="75"/>
      <c r="BA284" s="75"/>
      <c r="BB284" s="75"/>
      <c r="BC284" s="75"/>
      <c r="BD284" s="75"/>
      <c r="BE284" s="75"/>
      <c r="BF284" s="75"/>
      <c r="BG284" s="75"/>
      <c r="BH284" s="75"/>
      <c r="BI284" s="75"/>
      <c r="BJ284" s="75"/>
      <c r="BK284" s="75"/>
      <c r="BL284" s="75"/>
      <c r="BM284" s="75"/>
      <c r="BN284" s="75"/>
      <c r="BO284" s="75"/>
      <c r="BP284" s="75"/>
      <c r="BQ284" s="75"/>
      <c r="BR284" s="75"/>
      <c r="BS284" s="75"/>
      <c r="BT284" s="75"/>
      <c r="BU284" s="75"/>
      <c r="BV284" s="75"/>
    </row>
    <row r="285" spans="1:74" s="8" customFormat="1" ht="13.5" customHeight="1">
      <c r="A285" s="69"/>
      <c r="B285" s="71"/>
      <c r="C285" s="71"/>
      <c r="D285" s="78" t="s">
        <v>259</v>
      </c>
      <c r="E285" s="71"/>
      <c r="F285" s="79">
        <f>4+1</f>
        <v>5</v>
      </c>
      <c r="G285" s="73"/>
      <c r="H285" s="73"/>
      <c r="I285" s="106"/>
      <c r="J285" s="305"/>
      <c r="K285" s="277"/>
      <c r="L285" s="277"/>
      <c r="M285" s="277"/>
      <c r="N285" s="277"/>
      <c r="O285" s="277"/>
      <c r="P285" s="277"/>
      <c r="Q285" s="277"/>
      <c r="R285" s="307"/>
      <c r="S285" s="277"/>
      <c r="T285" s="277"/>
      <c r="U285" s="277"/>
      <c r="V285" s="277"/>
      <c r="W285" s="277"/>
      <c r="X285" s="277"/>
      <c r="Y285" s="277"/>
      <c r="Z285" s="277"/>
      <c r="AA285" s="277"/>
      <c r="AB285" s="277"/>
      <c r="AC285" s="277"/>
      <c r="AD285" s="277"/>
      <c r="AE285" s="277"/>
      <c r="AF285" s="277"/>
      <c r="AG285" s="277"/>
      <c r="AH285" s="277"/>
      <c r="AI285" s="277"/>
      <c r="AJ285" s="277"/>
      <c r="AK285" s="277"/>
      <c r="AL285" s="277"/>
      <c r="AM285" s="277"/>
      <c r="AN285" s="277"/>
      <c r="AO285" s="277"/>
      <c r="AP285" s="277"/>
      <c r="AQ285" s="277"/>
      <c r="AR285" s="277"/>
      <c r="AS285" s="277"/>
      <c r="AT285" s="277"/>
      <c r="AU285" s="277"/>
      <c r="AV285" s="75"/>
      <c r="AW285" s="75"/>
      <c r="AX285" s="75"/>
      <c r="AY285" s="75"/>
      <c r="AZ285" s="75"/>
      <c r="BA285" s="75"/>
      <c r="BB285" s="75"/>
      <c r="BC285" s="75"/>
      <c r="BD285" s="75"/>
      <c r="BE285" s="75"/>
      <c r="BF285" s="75"/>
      <c r="BG285" s="75"/>
      <c r="BH285" s="75"/>
      <c r="BI285" s="75"/>
      <c r="BJ285" s="75"/>
      <c r="BK285" s="75"/>
      <c r="BL285" s="75"/>
      <c r="BM285" s="75"/>
      <c r="BN285" s="75"/>
      <c r="BO285" s="75"/>
      <c r="BP285" s="75"/>
      <c r="BQ285" s="75"/>
      <c r="BR285" s="75"/>
      <c r="BS285" s="75"/>
      <c r="BT285" s="75"/>
      <c r="BU285" s="75"/>
      <c r="BV285" s="75"/>
    </row>
    <row r="286" spans="1:74" s="8" customFormat="1" ht="40.5" customHeight="1">
      <c r="A286" s="69"/>
      <c r="B286" s="71"/>
      <c r="C286" s="71"/>
      <c r="D286" s="78" t="s">
        <v>84</v>
      </c>
      <c r="E286" s="71"/>
      <c r="F286" s="118"/>
      <c r="G286" s="73"/>
      <c r="H286" s="73"/>
      <c r="I286" s="106"/>
      <c r="J286" s="306"/>
      <c r="K286" s="277"/>
      <c r="L286" s="277"/>
      <c r="M286" s="277"/>
      <c r="N286" s="277"/>
      <c r="O286" s="277"/>
      <c r="P286" s="277"/>
      <c r="Q286" s="277"/>
      <c r="R286" s="307"/>
      <c r="S286" s="277"/>
      <c r="T286" s="277"/>
      <c r="U286" s="277"/>
      <c r="V286" s="277"/>
      <c r="W286" s="277"/>
      <c r="X286" s="277"/>
      <c r="Y286" s="277"/>
      <c r="Z286" s="277"/>
      <c r="AA286" s="277"/>
      <c r="AB286" s="277"/>
      <c r="AC286" s="277"/>
      <c r="AD286" s="277"/>
      <c r="AE286" s="277"/>
      <c r="AF286" s="277"/>
      <c r="AG286" s="277"/>
      <c r="AH286" s="277"/>
      <c r="AI286" s="277"/>
      <c r="AJ286" s="277"/>
      <c r="AK286" s="277"/>
      <c r="AL286" s="277"/>
      <c r="AM286" s="277"/>
      <c r="AN286" s="277"/>
      <c r="AO286" s="277"/>
      <c r="AP286" s="277"/>
      <c r="AQ286" s="277"/>
      <c r="AR286" s="277"/>
      <c r="AS286" s="277"/>
      <c r="AT286" s="277"/>
      <c r="AU286" s="277"/>
      <c r="AV286" s="75"/>
      <c r="AW286" s="75"/>
      <c r="AX286" s="75"/>
      <c r="AY286" s="75"/>
      <c r="AZ286" s="75"/>
      <c r="BA286" s="75"/>
      <c r="BB286" s="75"/>
      <c r="BC286" s="75"/>
      <c r="BD286" s="75"/>
      <c r="BE286" s="75"/>
      <c r="BF286" s="75"/>
      <c r="BG286" s="75"/>
      <c r="BH286" s="75"/>
      <c r="BI286" s="75"/>
      <c r="BJ286" s="75"/>
      <c r="BK286" s="75"/>
      <c r="BL286" s="75"/>
      <c r="BM286" s="75"/>
      <c r="BN286" s="75"/>
      <c r="BO286" s="75"/>
      <c r="BP286" s="75"/>
      <c r="BQ286" s="75"/>
      <c r="BR286" s="75"/>
      <c r="BS286" s="75"/>
      <c r="BT286" s="75"/>
      <c r="BU286" s="75"/>
      <c r="BV286" s="75"/>
    </row>
    <row r="287" spans="1:74" s="8" customFormat="1" ht="13.5" customHeight="1">
      <c r="A287" s="69">
        <v>52</v>
      </c>
      <c r="B287" s="70" t="s">
        <v>83</v>
      </c>
      <c r="C287" s="71" t="s">
        <v>276</v>
      </c>
      <c r="D287" s="71" t="s">
        <v>277</v>
      </c>
      <c r="E287" s="71" t="s">
        <v>60</v>
      </c>
      <c r="F287" s="105">
        <f>SUM(F288:F288)</f>
        <v>1</v>
      </c>
      <c r="G287" s="73"/>
      <c r="H287" s="73">
        <f>F287*G287</f>
        <v>0</v>
      </c>
      <c r="I287" s="106" t="s">
        <v>50</v>
      </c>
      <c r="J287" s="341"/>
      <c r="K287" s="305"/>
      <c r="L287" s="300"/>
      <c r="M287" s="301"/>
      <c r="N287" s="302"/>
      <c r="O287" s="303"/>
      <c r="P287" s="305"/>
      <c r="Q287" s="305"/>
      <c r="R287" s="277"/>
      <c r="S287" s="277"/>
      <c r="T287" s="277"/>
      <c r="U287" s="277"/>
      <c r="V287" s="277"/>
      <c r="W287" s="277"/>
      <c r="X287" s="277"/>
      <c r="Y287" s="277"/>
      <c r="Z287" s="277"/>
      <c r="AA287" s="277"/>
      <c r="AB287" s="277"/>
      <c r="AC287" s="277"/>
      <c r="AD287" s="277"/>
      <c r="AE287" s="277"/>
      <c r="AF287" s="277"/>
      <c r="AG287" s="277"/>
      <c r="AH287" s="277"/>
      <c r="AI287" s="277"/>
      <c r="AJ287" s="277"/>
      <c r="AK287" s="277"/>
      <c r="AL287" s="277"/>
      <c r="AM287" s="277"/>
      <c r="AN287" s="277"/>
      <c r="AO287" s="277"/>
      <c r="AP287" s="277"/>
      <c r="AQ287" s="277"/>
      <c r="AR287" s="277"/>
      <c r="AS287" s="277"/>
      <c r="AT287" s="277"/>
      <c r="AU287" s="277"/>
      <c r="AV287" s="75"/>
      <c r="AW287" s="75"/>
      <c r="AX287" s="75"/>
      <c r="AY287" s="75"/>
      <c r="AZ287" s="75"/>
      <c r="BA287" s="75"/>
      <c r="BB287" s="75"/>
      <c r="BC287" s="75"/>
      <c r="BD287" s="75"/>
      <c r="BE287" s="75"/>
      <c r="BF287" s="75"/>
      <c r="BG287" s="75"/>
      <c r="BH287" s="75"/>
      <c r="BI287" s="75"/>
      <c r="BJ287" s="75"/>
      <c r="BK287" s="75"/>
      <c r="BL287" s="75"/>
      <c r="BM287" s="75"/>
      <c r="BN287" s="75"/>
      <c r="BO287" s="75"/>
      <c r="BP287" s="75"/>
      <c r="BQ287" s="75"/>
      <c r="BR287" s="75"/>
      <c r="BS287" s="75"/>
      <c r="BT287" s="75"/>
      <c r="BU287" s="75"/>
      <c r="BV287" s="75"/>
    </row>
    <row r="288" spans="1:74" s="8" customFormat="1" ht="13.5" customHeight="1">
      <c r="A288" s="69"/>
      <c r="B288" s="71"/>
      <c r="C288" s="71"/>
      <c r="D288" s="78" t="s">
        <v>278</v>
      </c>
      <c r="E288" s="71"/>
      <c r="F288" s="79">
        <v>1</v>
      </c>
      <c r="G288" s="73"/>
      <c r="H288" s="73"/>
      <c r="I288" s="106"/>
      <c r="J288" s="342"/>
      <c r="K288" s="339"/>
      <c r="L288" s="339"/>
      <c r="M288" s="277"/>
      <c r="N288" s="277"/>
      <c r="O288" s="277"/>
      <c r="P288" s="277"/>
      <c r="Q288" s="277"/>
      <c r="R288" s="277"/>
      <c r="S288" s="277"/>
      <c r="T288" s="277"/>
      <c r="U288" s="277"/>
      <c r="V288" s="277"/>
      <c r="W288" s="277"/>
      <c r="X288" s="277"/>
      <c r="Y288" s="277"/>
      <c r="Z288" s="277"/>
      <c r="AA288" s="277"/>
      <c r="AB288" s="277"/>
      <c r="AC288" s="277"/>
      <c r="AD288" s="277"/>
      <c r="AE288" s="277"/>
      <c r="AF288" s="277"/>
      <c r="AG288" s="277"/>
      <c r="AH288" s="277"/>
      <c r="AI288" s="277"/>
      <c r="AJ288" s="277"/>
      <c r="AK288" s="277"/>
      <c r="AL288" s="277"/>
      <c r="AM288" s="277"/>
      <c r="AN288" s="277"/>
      <c r="AO288" s="277"/>
      <c r="AP288" s="277"/>
      <c r="AQ288" s="277"/>
      <c r="AR288" s="277"/>
      <c r="AS288" s="277"/>
      <c r="AT288" s="277"/>
      <c r="AU288" s="277"/>
      <c r="AV288" s="75"/>
      <c r="AW288" s="75"/>
      <c r="AX288" s="75"/>
      <c r="AY288" s="75"/>
      <c r="AZ288" s="75"/>
      <c r="BA288" s="75"/>
      <c r="BB288" s="75"/>
      <c r="BC288" s="75"/>
      <c r="BD288" s="75"/>
      <c r="BE288" s="75"/>
      <c r="BF288" s="75"/>
      <c r="BG288" s="75"/>
      <c r="BH288" s="75"/>
      <c r="BI288" s="75"/>
      <c r="BJ288" s="75"/>
      <c r="BK288" s="75"/>
      <c r="BL288" s="75"/>
      <c r="BM288" s="75"/>
      <c r="BN288" s="75"/>
      <c r="BO288" s="75"/>
      <c r="BP288" s="75"/>
      <c r="BQ288" s="75"/>
      <c r="BR288" s="75"/>
      <c r="BS288" s="75"/>
      <c r="BT288" s="75"/>
      <c r="BU288" s="75"/>
      <c r="BV288" s="75"/>
    </row>
    <row r="289" spans="1:74" s="8" customFormat="1" ht="40.5" customHeight="1">
      <c r="A289" s="69"/>
      <c r="B289" s="71"/>
      <c r="C289" s="71"/>
      <c r="D289" s="78" t="s">
        <v>270</v>
      </c>
      <c r="E289" s="71"/>
      <c r="F289" s="118"/>
      <c r="G289" s="73"/>
      <c r="H289" s="73"/>
      <c r="I289" s="106"/>
      <c r="J289" s="306"/>
      <c r="K289" s="277"/>
      <c r="L289" s="277"/>
      <c r="M289" s="277"/>
      <c r="N289" s="277"/>
      <c r="O289" s="277"/>
      <c r="P289" s="277"/>
      <c r="Q289" s="277"/>
      <c r="R289" s="277"/>
      <c r="S289" s="277"/>
      <c r="T289" s="277"/>
      <c r="U289" s="277"/>
      <c r="V289" s="277"/>
      <c r="W289" s="277"/>
      <c r="X289" s="277"/>
      <c r="Y289" s="277"/>
      <c r="Z289" s="277"/>
      <c r="AA289" s="277"/>
      <c r="AB289" s="277"/>
      <c r="AC289" s="277"/>
      <c r="AD289" s="277"/>
      <c r="AE289" s="277"/>
      <c r="AF289" s="277"/>
      <c r="AG289" s="277"/>
      <c r="AH289" s="277"/>
      <c r="AI289" s="277"/>
      <c r="AJ289" s="277"/>
      <c r="AK289" s="277"/>
      <c r="AL289" s="277"/>
      <c r="AM289" s="277"/>
      <c r="AN289" s="277"/>
      <c r="AO289" s="277"/>
      <c r="AP289" s="277"/>
      <c r="AQ289" s="277"/>
      <c r="AR289" s="277"/>
      <c r="AS289" s="277"/>
      <c r="AT289" s="277"/>
      <c r="AU289" s="277"/>
      <c r="AV289" s="75"/>
      <c r="AW289" s="75"/>
      <c r="AX289" s="75"/>
      <c r="AY289" s="75"/>
      <c r="AZ289" s="75"/>
      <c r="BA289" s="75"/>
      <c r="BB289" s="75"/>
      <c r="BC289" s="75"/>
      <c r="BD289" s="75"/>
      <c r="BE289" s="75"/>
      <c r="BF289" s="75"/>
      <c r="BG289" s="75"/>
      <c r="BH289" s="75"/>
      <c r="BI289" s="75"/>
      <c r="BJ289" s="75"/>
      <c r="BK289" s="75"/>
      <c r="BL289" s="75"/>
      <c r="BM289" s="75"/>
      <c r="BN289" s="75"/>
      <c r="BO289" s="75"/>
      <c r="BP289" s="75"/>
      <c r="BQ289" s="75"/>
      <c r="BR289" s="75"/>
      <c r="BS289" s="75"/>
      <c r="BT289" s="75"/>
      <c r="BU289" s="75"/>
      <c r="BV289" s="75"/>
    </row>
    <row r="290" spans="1:74" s="8" customFormat="1" ht="13.5" customHeight="1">
      <c r="A290" s="69">
        <v>53</v>
      </c>
      <c r="B290" s="70" t="s">
        <v>83</v>
      </c>
      <c r="C290" s="71" t="s">
        <v>279</v>
      </c>
      <c r="D290" s="71" t="s">
        <v>280</v>
      </c>
      <c r="E290" s="71" t="s">
        <v>60</v>
      </c>
      <c r="F290" s="105">
        <f>SUM(F291:F294)</f>
        <v>4</v>
      </c>
      <c r="G290" s="73"/>
      <c r="H290" s="73">
        <f>F290*G290</f>
        <v>0</v>
      </c>
      <c r="I290" s="106" t="s">
        <v>50</v>
      </c>
      <c r="J290" s="341"/>
      <c r="K290" s="305"/>
      <c r="L290" s="300"/>
      <c r="M290" s="301"/>
      <c r="N290" s="302"/>
      <c r="O290" s="303"/>
      <c r="P290" s="305"/>
      <c r="Q290" s="305"/>
      <c r="R290" s="277"/>
      <c r="S290" s="277"/>
      <c r="T290" s="277"/>
      <c r="U290" s="277"/>
      <c r="V290" s="277"/>
      <c r="W290" s="277"/>
      <c r="X290" s="277"/>
      <c r="Y290" s="277"/>
      <c r="Z290" s="277"/>
      <c r="AA290" s="277"/>
      <c r="AB290" s="277"/>
      <c r="AC290" s="277"/>
      <c r="AD290" s="277"/>
      <c r="AE290" s="277"/>
      <c r="AF290" s="277"/>
      <c r="AG290" s="277"/>
      <c r="AH290" s="277"/>
      <c r="AI290" s="277"/>
      <c r="AJ290" s="277"/>
      <c r="AK290" s="277"/>
      <c r="AL290" s="277"/>
      <c r="AM290" s="277"/>
      <c r="AN290" s="277"/>
      <c r="AO290" s="277"/>
      <c r="AP290" s="277"/>
      <c r="AQ290" s="277"/>
      <c r="AR290" s="277"/>
      <c r="AS290" s="277"/>
      <c r="AT290" s="277"/>
      <c r="AU290" s="277"/>
      <c r="AV290" s="75"/>
      <c r="AW290" s="75"/>
      <c r="AX290" s="75"/>
      <c r="AY290" s="75"/>
      <c r="AZ290" s="75"/>
      <c r="BA290" s="75"/>
      <c r="BB290" s="75"/>
      <c r="BC290" s="75"/>
      <c r="BD290" s="75"/>
      <c r="BE290" s="75"/>
      <c r="BF290" s="75"/>
      <c r="BG290" s="75"/>
      <c r="BH290" s="75"/>
      <c r="BI290" s="75"/>
      <c r="BJ290" s="75"/>
      <c r="BK290" s="75"/>
      <c r="BL290" s="75"/>
      <c r="BM290" s="75"/>
      <c r="BN290" s="75"/>
      <c r="BO290" s="75"/>
      <c r="BP290" s="75"/>
      <c r="BQ290" s="75"/>
      <c r="BR290" s="75"/>
      <c r="BS290" s="75"/>
      <c r="BT290" s="75"/>
      <c r="BU290" s="75"/>
      <c r="BV290" s="75"/>
    </row>
    <row r="291" spans="1:74" s="8" customFormat="1" ht="13.5" customHeight="1">
      <c r="A291" s="69"/>
      <c r="B291" s="71"/>
      <c r="C291" s="71"/>
      <c r="D291" s="78" t="s">
        <v>256</v>
      </c>
      <c r="E291" s="71"/>
      <c r="F291" s="79">
        <v>1</v>
      </c>
      <c r="G291" s="73"/>
      <c r="H291" s="73"/>
      <c r="I291" s="106"/>
      <c r="J291" s="305"/>
      <c r="K291" s="277"/>
      <c r="L291" s="277"/>
      <c r="M291" s="277"/>
      <c r="N291" s="277"/>
      <c r="O291" s="277"/>
      <c r="P291" s="277"/>
      <c r="Q291" s="277"/>
      <c r="R291" s="277"/>
      <c r="S291" s="277"/>
      <c r="T291" s="277"/>
      <c r="U291" s="277"/>
      <c r="V291" s="277"/>
      <c r="W291" s="277"/>
      <c r="X291" s="277"/>
      <c r="Y291" s="277"/>
      <c r="Z291" s="277"/>
      <c r="AA291" s="277"/>
      <c r="AB291" s="277"/>
      <c r="AC291" s="277"/>
      <c r="AD291" s="277"/>
      <c r="AE291" s="277"/>
      <c r="AF291" s="277"/>
      <c r="AG291" s="277"/>
      <c r="AH291" s="277"/>
      <c r="AI291" s="277"/>
      <c r="AJ291" s="277"/>
      <c r="AK291" s="277"/>
      <c r="AL291" s="277"/>
      <c r="AM291" s="277"/>
      <c r="AN291" s="277"/>
      <c r="AO291" s="277"/>
      <c r="AP291" s="277"/>
      <c r="AQ291" s="277"/>
      <c r="AR291" s="277"/>
      <c r="AS291" s="277"/>
      <c r="AT291" s="277"/>
      <c r="AU291" s="277"/>
      <c r="AV291" s="75"/>
      <c r="AW291" s="75"/>
      <c r="AX291" s="75"/>
      <c r="AY291" s="75"/>
      <c r="AZ291" s="75"/>
      <c r="BA291" s="75"/>
      <c r="BB291" s="75"/>
      <c r="BC291" s="75"/>
      <c r="BD291" s="75"/>
      <c r="BE291" s="75"/>
      <c r="BF291" s="75"/>
      <c r="BG291" s="75"/>
      <c r="BH291" s="75"/>
      <c r="BI291" s="75"/>
      <c r="BJ291" s="75"/>
      <c r="BK291" s="75"/>
      <c r="BL291" s="75"/>
      <c r="BM291" s="75"/>
      <c r="BN291" s="75"/>
      <c r="BO291" s="75"/>
      <c r="BP291" s="75"/>
      <c r="BQ291" s="75"/>
      <c r="BR291" s="75"/>
      <c r="BS291" s="75"/>
      <c r="BT291" s="75"/>
      <c r="BU291" s="75"/>
      <c r="BV291" s="75"/>
    </row>
    <row r="292" spans="1:74" s="8" customFormat="1" ht="13.5" customHeight="1">
      <c r="A292" s="69"/>
      <c r="B292" s="71"/>
      <c r="C292" s="71"/>
      <c r="D292" s="78" t="s">
        <v>257</v>
      </c>
      <c r="E292" s="71"/>
      <c r="F292" s="79">
        <v>1</v>
      </c>
      <c r="G292" s="73"/>
      <c r="H292" s="73"/>
      <c r="I292" s="106"/>
      <c r="J292" s="305"/>
      <c r="K292" s="277"/>
      <c r="L292" s="277"/>
      <c r="M292" s="277"/>
      <c r="N292" s="277"/>
      <c r="O292" s="277"/>
      <c r="P292" s="277"/>
      <c r="Q292" s="277"/>
      <c r="R292" s="277"/>
      <c r="S292" s="277"/>
      <c r="T292" s="277"/>
      <c r="U292" s="277"/>
      <c r="V292" s="277"/>
      <c r="W292" s="277"/>
      <c r="X292" s="277"/>
      <c r="Y292" s="277"/>
      <c r="Z292" s="277"/>
      <c r="AA292" s="277"/>
      <c r="AB292" s="277"/>
      <c r="AC292" s="277"/>
      <c r="AD292" s="277"/>
      <c r="AE292" s="277"/>
      <c r="AF292" s="277"/>
      <c r="AG292" s="277"/>
      <c r="AH292" s="277"/>
      <c r="AI292" s="277"/>
      <c r="AJ292" s="277"/>
      <c r="AK292" s="277"/>
      <c r="AL292" s="277"/>
      <c r="AM292" s="277"/>
      <c r="AN292" s="277"/>
      <c r="AO292" s="277"/>
      <c r="AP292" s="277"/>
      <c r="AQ292" s="277"/>
      <c r="AR292" s="277"/>
      <c r="AS292" s="277"/>
      <c r="AT292" s="277"/>
      <c r="AU292" s="277"/>
      <c r="AV292" s="75"/>
      <c r="AW292" s="75"/>
      <c r="AX292" s="75"/>
      <c r="AY292" s="75"/>
      <c r="AZ292" s="75"/>
      <c r="BA292" s="75"/>
      <c r="BB292" s="75"/>
      <c r="BC292" s="75"/>
      <c r="BD292" s="75"/>
      <c r="BE292" s="75"/>
      <c r="BF292" s="75"/>
      <c r="BG292" s="75"/>
      <c r="BH292" s="75"/>
      <c r="BI292" s="75"/>
      <c r="BJ292" s="75"/>
      <c r="BK292" s="75"/>
      <c r="BL292" s="75"/>
      <c r="BM292" s="75"/>
      <c r="BN292" s="75"/>
      <c r="BO292" s="75"/>
      <c r="BP292" s="75"/>
      <c r="BQ292" s="75"/>
      <c r="BR292" s="75"/>
      <c r="BS292" s="75"/>
      <c r="BT292" s="75"/>
      <c r="BU292" s="75"/>
      <c r="BV292" s="75"/>
    </row>
    <row r="293" spans="1:74" s="8" customFormat="1" ht="13.5" customHeight="1">
      <c r="A293" s="69"/>
      <c r="B293" s="71"/>
      <c r="C293" s="71"/>
      <c r="D293" s="78" t="s">
        <v>258</v>
      </c>
      <c r="E293" s="71"/>
      <c r="F293" s="79">
        <v>1</v>
      </c>
      <c r="G293" s="73"/>
      <c r="H293" s="73"/>
      <c r="I293" s="106"/>
      <c r="J293" s="305"/>
      <c r="K293" s="277"/>
      <c r="L293" s="277"/>
      <c r="M293" s="277"/>
      <c r="N293" s="277"/>
      <c r="O293" s="277"/>
      <c r="P293" s="277"/>
      <c r="Q293" s="277"/>
      <c r="R293" s="277"/>
      <c r="S293" s="277"/>
      <c r="T293" s="277"/>
      <c r="U293" s="277"/>
      <c r="V293" s="277"/>
      <c r="W293" s="277"/>
      <c r="X293" s="277"/>
      <c r="Y293" s="277"/>
      <c r="Z293" s="277"/>
      <c r="AA293" s="277"/>
      <c r="AB293" s="277"/>
      <c r="AC293" s="277"/>
      <c r="AD293" s="277"/>
      <c r="AE293" s="277"/>
      <c r="AF293" s="277"/>
      <c r="AG293" s="277"/>
      <c r="AH293" s="277"/>
      <c r="AI293" s="277"/>
      <c r="AJ293" s="277"/>
      <c r="AK293" s="277"/>
      <c r="AL293" s="277"/>
      <c r="AM293" s="277"/>
      <c r="AN293" s="277"/>
      <c r="AO293" s="277"/>
      <c r="AP293" s="277"/>
      <c r="AQ293" s="277"/>
      <c r="AR293" s="277"/>
      <c r="AS293" s="277"/>
      <c r="AT293" s="277"/>
      <c r="AU293" s="277"/>
      <c r="AV293" s="75"/>
      <c r="AW293" s="75"/>
      <c r="AX293" s="75"/>
      <c r="AY293" s="75"/>
      <c r="AZ293" s="75"/>
      <c r="BA293" s="75"/>
      <c r="BB293" s="75"/>
      <c r="BC293" s="75"/>
      <c r="BD293" s="75"/>
      <c r="BE293" s="75"/>
      <c r="BF293" s="75"/>
      <c r="BG293" s="75"/>
      <c r="BH293" s="75"/>
      <c r="BI293" s="75"/>
      <c r="BJ293" s="75"/>
      <c r="BK293" s="75"/>
      <c r="BL293" s="75"/>
      <c r="BM293" s="75"/>
      <c r="BN293" s="75"/>
      <c r="BO293" s="75"/>
      <c r="BP293" s="75"/>
      <c r="BQ293" s="75"/>
      <c r="BR293" s="75"/>
      <c r="BS293" s="75"/>
      <c r="BT293" s="75"/>
      <c r="BU293" s="75"/>
      <c r="BV293" s="75"/>
    </row>
    <row r="294" spans="1:74" s="8" customFormat="1" ht="13.5" customHeight="1">
      <c r="A294" s="69"/>
      <c r="B294" s="71"/>
      <c r="C294" s="71"/>
      <c r="D294" s="78" t="s">
        <v>259</v>
      </c>
      <c r="E294" s="71"/>
      <c r="F294" s="79">
        <v>1</v>
      </c>
      <c r="G294" s="73"/>
      <c r="H294" s="73"/>
      <c r="I294" s="106"/>
      <c r="J294" s="305"/>
      <c r="K294" s="277"/>
      <c r="L294" s="277"/>
      <c r="M294" s="277"/>
      <c r="N294" s="277"/>
      <c r="O294" s="277"/>
      <c r="P294" s="277"/>
      <c r="Q294" s="277"/>
      <c r="R294" s="277"/>
      <c r="S294" s="277"/>
      <c r="T294" s="277"/>
      <c r="U294" s="277"/>
      <c r="V294" s="277"/>
      <c r="W294" s="277"/>
      <c r="X294" s="277"/>
      <c r="Y294" s="277"/>
      <c r="Z294" s="277"/>
      <c r="AA294" s="277"/>
      <c r="AB294" s="277"/>
      <c r="AC294" s="277"/>
      <c r="AD294" s="277"/>
      <c r="AE294" s="277"/>
      <c r="AF294" s="277"/>
      <c r="AG294" s="277"/>
      <c r="AH294" s="277"/>
      <c r="AI294" s="277"/>
      <c r="AJ294" s="277"/>
      <c r="AK294" s="277"/>
      <c r="AL294" s="277"/>
      <c r="AM294" s="277"/>
      <c r="AN294" s="277"/>
      <c r="AO294" s="277"/>
      <c r="AP294" s="277"/>
      <c r="AQ294" s="277"/>
      <c r="AR294" s="277"/>
      <c r="AS294" s="277"/>
      <c r="AT294" s="277"/>
      <c r="AU294" s="277"/>
      <c r="AV294" s="75"/>
      <c r="AW294" s="75"/>
      <c r="AX294" s="75"/>
      <c r="AY294" s="75"/>
      <c r="AZ294" s="75"/>
      <c r="BA294" s="75"/>
      <c r="BB294" s="75"/>
      <c r="BC294" s="75"/>
      <c r="BD294" s="75"/>
      <c r="BE294" s="75"/>
      <c r="BF294" s="75"/>
      <c r="BG294" s="75"/>
      <c r="BH294" s="75"/>
      <c r="BI294" s="75"/>
      <c r="BJ294" s="75"/>
      <c r="BK294" s="75"/>
      <c r="BL294" s="75"/>
      <c r="BM294" s="75"/>
      <c r="BN294" s="75"/>
      <c r="BO294" s="75"/>
      <c r="BP294" s="75"/>
      <c r="BQ294" s="75"/>
      <c r="BR294" s="75"/>
      <c r="BS294" s="75"/>
      <c r="BT294" s="75"/>
      <c r="BU294" s="75"/>
      <c r="BV294" s="75"/>
    </row>
    <row r="295" spans="1:74" s="8" customFormat="1" ht="40.5" customHeight="1">
      <c r="A295" s="69"/>
      <c r="B295" s="71"/>
      <c r="C295" s="71"/>
      <c r="D295" s="78" t="s">
        <v>281</v>
      </c>
      <c r="E295" s="71"/>
      <c r="F295" s="118"/>
      <c r="G295" s="73"/>
      <c r="H295" s="73"/>
      <c r="I295" s="106"/>
      <c r="J295" s="306"/>
      <c r="K295" s="277"/>
      <c r="L295" s="277"/>
      <c r="M295" s="277"/>
      <c r="N295" s="277"/>
      <c r="O295" s="277"/>
      <c r="P295" s="277"/>
      <c r="Q295" s="277"/>
      <c r="R295" s="277"/>
      <c r="S295" s="277"/>
      <c r="T295" s="277"/>
      <c r="U295" s="277"/>
      <c r="V295" s="277"/>
      <c r="W295" s="277"/>
      <c r="X295" s="277"/>
      <c r="Y295" s="277"/>
      <c r="Z295" s="277"/>
      <c r="AA295" s="277"/>
      <c r="AB295" s="277"/>
      <c r="AC295" s="277"/>
      <c r="AD295" s="277"/>
      <c r="AE295" s="277"/>
      <c r="AF295" s="277"/>
      <c r="AG295" s="277"/>
      <c r="AH295" s="277"/>
      <c r="AI295" s="277"/>
      <c r="AJ295" s="277"/>
      <c r="AK295" s="277"/>
      <c r="AL295" s="277"/>
      <c r="AM295" s="277"/>
      <c r="AN295" s="277"/>
      <c r="AO295" s="277"/>
      <c r="AP295" s="277"/>
      <c r="AQ295" s="277"/>
      <c r="AR295" s="277"/>
      <c r="AS295" s="277"/>
      <c r="AT295" s="277"/>
      <c r="AU295" s="277"/>
      <c r="AV295" s="75"/>
      <c r="AW295" s="75"/>
      <c r="AX295" s="75"/>
      <c r="AY295" s="75"/>
      <c r="AZ295" s="75"/>
      <c r="BA295" s="75"/>
      <c r="BB295" s="75"/>
      <c r="BC295" s="75"/>
      <c r="BD295" s="75"/>
      <c r="BE295" s="75"/>
      <c r="BF295" s="75"/>
      <c r="BG295" s="75"/>
      <c r="BH295" s="75"/>
      <c r="BI295" s="75"/>
      <c r="BJ295" s="75"/>
      <c r="BK295" s="75"/>
      <c r="BL295" s="75"/>
      <c r="BM295" s="75"/>
      <c r="BN295" s="75"/>
      <c r="BO295" s="75"/>
      <c r="BP295" s="75"/>
      <c r="BQ295" s="75"/>
      <c r="BR295" s="75"/>
      <c r="BS295" s="75"/>
      <c r="BT295" s="75"/>
      <c r="BU295" s="75"/>
      <c r="BV295" s="75"/>
    </row>
    <row r="296" spans="1:74" s="8" customFormat="1" ht="13.5" customHeight="1">
      <c r="A296" s="88">
        <v>54</v>
      </c>
      <c r="B296" s="91" t="s">
        <v>77</v>
      </c>
      <c r="C296" s="91" t="s">
        <v>85</v>
      </c>
      <c r="D296" s="91" t="s">
        <v>86</v>
      </c>
      <c r="E296" s="91" t="s">
        <v>80</v>
      </c>
      <c r="F296" s="92">
        <f>F297</f>
        <v>64</v>
      </c>
      <c r="G296" s="94"/>
      <c r="H296" s="94">
        <f>F296*G296</f>
        <v>0</v>
      </c>
      <c r="I296" s="74" t="s">
        <v>37</v>
      </c>
      <c r="J296" s="343"/>
      <c r="K296" s="277"/>
      <c r="L296" s="277"/>
      <c r="M296" s="277"/>
      <c r="N296" s="277"/>
      <c r="O296" s="277"/>
      <c r="P296" s="277"/>
      <c r="Q296" s="277"/>
      <c r="R296" s="307"/>
      <c r="S296" s="277"/>
      <c r="T296" s="277"/>
      <c r="U296" s="277"/>
      <c r="V296" s="277"/>
      <c r="W296" s="277"/>
      <c r="X296" s="277"/>
      <c r="Y296" s="277"/>
      <c r="Z296" s="277"/>
      <c r="AA296" s="277"/>
      <c r="AB296" s="277"/>
      <c r="AC296" s="277"/>
      <c r="AD296" s="277"/>
      <c r="AE296" s="277"/>
      <c r="AF296" s="277"/>
      <c r="AG296" s="277"/>
      <c r="AH296" s="277"/>
      <c r="AI296" s="277"/>
      <c r="AJ296" s="277"/>
      <c r="AK296" s="277"/>
      <c r="AL296" s="277"/>
      <c r="AM296" s="277"/>
      <c r="AN296" s="277"/>
      <c r="AO296" s="277"/>
      <c r="AP296" s="277"/>
      <c r="AQ296" s="277"/>
      <c r="AR296" s="277"/>
      <c r="AS296" s="277"/>
      <c r="AT296" s="277"/>
      <c r="AU296" s="277"/>
      <c r="AV296" s="75"/>
      <c r="AW296" s="75"/>
      <c r="AX296" s="75"/>
      <c r="AY296" s="75"/>
      <c r="AZ296" s="75"/>
      <c r="BA296" s="75"/>
      <c r="BB296" s="75"/>
      <c r="BC296" s="75"/>
      <c r="BD296" s="75"/>
      <c r="BE296" s="75"/>
      <c r="BF296" s="75"/>
      <c r="BG296" s="75"/>
      <c r="BH296" s="75"/>
      <c r="BI296" s="75"/>
      <c r="BJ296" s="75"/>
      <c r="BK296" s="75"/>
      <c r="BL296" s="75"/>
      <c r="BM296" s="75"/>
      <c r="BN296" s="75"/>
      <c r="BO296" s="75"/>
      <c r="BP296" s="75"/>
      <c r="BQ296" s="75"/>
      <c r="BR296" s="75"/>
      <c r="BS296" s="75"/>
      <c r="BT296" s="75"/>
      <c r="BU296" s="75"/>
      <c r="BV296" s="75"/>
    </row>
    <row r="297" spans="1:74" s="8" customFormat="1" ht="13.5" customHeight="1">
      <c r="A297" s="163"/>
      <c r="B297" s="164"/>
      <c r="C297" s="164"/>
      <c r="D297" s="124" t="s">
        <v>87</v>
      </c>
      <c r="E297" s="164"/>
      <c r="F297" s="165">
        <v>64</v>
      </c>
      <c r="G297" s="166"/>
      <c r="H297" s="94"/>
      <c r="I297" s="152"/>
      <c r="J297" s="306"/>
      <c r="K297" s="277"/>
      <c r="L297" s="277"/>
      <c r="M297" s="277"/>
      <c r="N297" s="277"/>
      <c r="O297" s="277"/>
      <c r="P297" s="277"/>
      <c r="Q297" s="277"/>
      <c r="R297" s="307"/>
      <c r="S297" s="277"/>
      <c r="T297" s="277"/>
      <c r="U297" s="277"/>
      <c r="V297" s="277"/>
      <c r="W297" s="277"/>
      <c r="X297" s="277"/>
      <c r="Y297" s="277"/>
      <c r="Z297" s="277"/>
      <c r="AA297" s="277"/>
      <c r="AB297" s="277"/>
      <c r="AC297" s="277"/>
      <c r="AD297" s="277"/>
      <c r="AE297" s="277"/>
      <c r="AF297" s="277"/>
      <c r="AG297" s="277"/>
      <c r="AH297" s="277"/>
      <c r="AI297" s="277"/>
      <c r="AJ297" s="277"/>
      <c r="AK297" s="277"/>
      <c r="AL297" s="277"/>
      <c r="AM297" s="277"/>
      <c r="AN297" s="277"/>
      <c r="AO297" s="277"/>
      <c r="AP297" s="277"/>
      <c r="AQ297" s="277"/>
      <c r="AR297" s="277"/>
      <c r="AS297" s="277"/>
      <c r="AT297" s="277"/>
      <c r="AU297" s="277"/>
      <c r="AV297" s="75"/>
      <c r="AW297" s="75"/>
      <c r="AX297" s="75"/>
      <c r="AY297" s="75"/>
      <c r="AZ297" s="75"/>
      <c r="BA297" s="75"/>
      <c r="BB297" s="75"/>
      <c r="BC297" s="75"/>
      <c r="BD297" s="75"/>
      <c r="BE297" s="75"/>
      <c r="BF297" s="75"/>
      <c r="BG297" s="75"/>
      <c r="BH297" s="75"/>
      <c r="BI297" s="75"/>
      <c r="BJ297" s="75"/>
      <c r="BK297" s="75"/>
      <c r="BL297" s="75"/>
      <c r="BM297" s="75"/>
      <c r="BN297" s="75"/>
      <c r="BO297" s="75"/>
      <c r="BP297" s="75"/>
      <c r="BQ297" s="75"/>
      <c r="BR297" s="75"/>
      <c r="BS297" s="75"/>
      <c r="BT297" s="75"/>
      <c r="BU297" s="75"/>
      <c r="BV297" s="75"/>
    </row>
    <row r="298" spans="1:74" s="8" customFormat="1" ht="13.5" customHeight="1">
      <c r="A298" s="163"/>
      <c r="B298" s="164"/>
      <c r="C298" s="164"/>
      <c r="D298" s="124" t="s">
        <v>88</v>
      </c>
      <c r="E298" s="164"/>
      <c r="F298" s="165"/>
      <c r="G298" s="166"/>
      <c r="H298" s="94"/>
      <c r="I298" s="152"/>
      <c r="J298" s="306"/>
      <c r="K298" s="277"/>
      <c r="L298" s="277"/>
      <c r="M298" s="277"/>
      <c r="N298" s="277"/>
      <c r="O298" s="277"/>
      <c r="P298" s="277"/>
      <c r="Q298" s="277"/>
      <c r="R298" s="307"/>
      <c r="S298" s="277"/>
      <c r="T298" s="277"/>
      <c r="U298" s="277"/>
      <c r="V298" s="277"/>
      <c r="W298" s="277"/>
      <c r="X298" s="277"/>
      <c r="Y298" s="277"/>
      <c r="Z298" s="277"/>
      <c r="AA298" s="277"/>
      <c r="AB298" s="277"/>
      <c r="AC298" s="277"/>
      <c r="AD298" s="277"/>
      <c r="AE298" s="277"/>
      <c r="AF298" s="277"/>
      <c r="AG298" s="277"/>
      <c r="AH298" s="277"/>
      <c r="AI298" s="277"/>
      <c r="AJ298" s="277"/>
      <c r="AK298" s="277"/>
      <c r="AL298" s="277"/>
      <c r="AM298" s="277"/>
      <c r="AN298" s="277"/>
      <c r="AO298" s="277"/>
      <c r="AP298" s="277"/>
      <c r="AQ298" s="277"/>
      <c r="AR298" s="277"/>
      <c r="AS298" s="277"/>
      <c r="AT298" s="277"/>
      <c r="AU298" s="277"/>
      <c r="AV298" s="75"/>
      <c r="AW298" s="75"/>
      <c r="AX298" s="75"/>
      <c r="AY298" s="75"/>
      <c r="AZ298" s="75"/>
      <c r="BA298" s="75"/>
      <c r="BB298" s="75"/>
      <c r="BC298" s="75"/>
      <c r="BD298" s="75"/>
      <c r="BE298" s="75"/>
      <c r="BF298" s="75"/>
      <c r="BG298" s="75"/>
      <c r="BH298" s="75"/>
      <c r="BI298" s="75"/>
      <c r="BJ298" s="75"/>
      <c r="BK298" s="75"/>
      <c r="BL298" s="75"/>
      <c r="BM298" s="75"/>
      <c r="BN298" s="75"/>
      <c r="BO298" s="75"/>
      <c r="BP298" s="75"/>
      <c r="BQ298" s="75"/>
      <c r="BR298" s="75"/>
      <c r="BS298" s="75"/>
      <c r="BT298" s="75"/>
      <c r="BU298" s="75"/>
      <c r="BV298" s="75"/>
    </row>
    <row r="299" spans="1:74" s="266" customFormat="1" ht="12" customHeight="1">
      <c r="A299" s="260"/>
      <c r="B299" s="261"/>
      <c r="C299" s="261" t="s">
        <v>282</v>
      </c>
      <c r="D299" s="261" t="s">
        <v>106</v>
      </c>
      <c r="E299" s="261"/>
      <c r="F299" s="262"/>
      <c r="G299" s="263"/>
      <c r="H299" s="263">
        <f>SUM(H300:H331)</f>
        <v>0</v>
      </c>
      <c r="I299" s="264"/>
      <c r="J299" s="265"/>
      <c r="K299" s="265"/>
      <c r="L299" s="265"/>
      <c r="M299" s="265"/>
      <c r="N299" s="265"/>
      <c r="O299" s="265"/>
      <c r="P299" s="265"/>
      <c r="Q299" s="265"/>
      <c r="R299" s="265"/>
      <c r="S299" s="265"/>
      <c r="T299" s="265"/>
      <c r="U299" s="265"/>
      <c r="V299" s="265"/>
      <c r="W299" s="265"/>
      <c r="X299" s="265"/>
      <c r="Y299" s="265"/>
      <c r="Z299" s="265"/>
      <c r="AA299" s="265"/>
      <c r="AB299" s="265"/>
      <c r="AC299" s="265"/>
      <c r="AD299" s="265"/>
      <c r="AE299" s="265"/>
      <c r="AF299" s="265"/>
      <c r="AG299" s="265"/>
      <c r="AH299" s="265"/>
      <c r="AI299" s="265"/>
      <c r="AJ299" s="265"/>
      <c r="AK299" s="265"/>
      <c r="AL299" s="265"/>
      <c r="AM299" s="265"/>
      <c r="AN299" s="265"/>
      <c r="AO299" s="265"/>
      <c r="AP299" s="265"/>
      <c r="AQ299" s="265"/>
      <c r="AR299" s="265"/>
      <c r="AS299" s="265"/>
      <c r="AT299" s="265"/>
      <c r="AU299" s="265"/>
      <c r="AV299" s="265"/>
      <c r="AW299" s="265"/>
      <c r="AX299" s="265"/>
      <c r="AY299" s="265"/>
      <c r="AZ299" s="265"/>
      <c r="BA299" s="265"/>
      <c r="BB299" s="265"/>
      <c r="BC299" s="265"/>
      <c r="BD299" s="265"/>
      <c r="BE299" s="265"/>
      <c r="BF299" s="265"/>
      <c r="BG299" s="265"/>
      <c r="BH299" s="265"/>
      <c r="BI299" s="265"/>
      <c r="BJ299" s="265"/>
      <c r="BK299" s="265"/>
      <c r="BL299" s="265"/>
      <c r="BM299" s="265"/>
      <c r="BN299" s="265"/>
      <c r="BO299" s="265"/>
      <c r="BP299" s="265"/>
      <c r="BQ299" s="265"/>
      <c r="BR299" s="265"/>
      <c r="BS299" s="265"/>
      <c r="BT299" s="265"/>
      <c r="BU299" s="265"/>
      <c r="BV299" s="265"/>
    </row>
    <row r="300" spans="1:74" s="241" customFormat="1" ht="13.5" customHeight="1">
      <c r="A300" s="69">
        <v>55</v>
      </c>
      <c r="B300" s="70" t="s">
        <v>282</v>
      </c>
      <c r="C300" s="173">
        <v>763111812</v>
      </c>
      <c r="D300" s="114" t="s">
        <v>283</v>
      </c>
      <c r="E300" s="174" t="s">
        <v>36</v>
      </c>
      <c r="F300" s="233">
        <f>SUM(F301:F301)</f>
        <v>50</v>
      </c>
      <c r="G300" s="234"/>
      <c r="H300" s="73">
        <f>F300*G300</f>
        <v>0</v>
      </c>
      <c r="I300" s="106" t="s">
        <v>284</v>
      </c>
      <c r="J300" s="308"/>
      <c r="K300" s="294"/>
      <c r="L300" s="294"/>
      <c r="M300" s="294"/>
      <c r="N300" s="294"/>
      <c r="O300" s="298"/>
      <c r="P300" s="308"/>
      <c r="Q300" s="309"/>
      <c r="R300" s="309"/>
      <c r="S300" s="294"/>
      <c r="T300" s="294"/>
      <c r="U300" s="294"/>
      <c r="V300" s="294"/>
      <c r="W300" s="294"/>
      <c r="X300" s="294"/>
      <c r="Y300" s="294"/>
      <c r="Z300" s="294"/>
      <c r="AA300" s="294"/>
      <c r="AB300" s="294"/>
      <c r="AC300" s="294"/>
      <c r="AD300" s="294"/>
      <c r="AE300" s="294"/>
      <c r="AF300" s="294"/>
      <c r="AG300" s="294"/>
      <c r="AH300" s="294"/>
      <c r="AI300" s="294"/>
      <c r="AJ300" s="294"/>
      <c r="AK300" s="294"/>
      <c r="AL300" s="294"/>
      <c r="AM300" s="294"/>
      <c r="AN300" s="294"/>
      <c r="AO300" s="294"/>
      <c r="AP300" s="294"/>
      <c r="AQ300" s="294"/>
      <c r="AR300" s="294"/>
      <c r="AS300" s="294"/>
      <c r="AT300" s="294"/>
      <c r="AU300" s="294"/>
    </row>
    <row r="301" spans="1:74" s="241" customFormat="1" ht="13.5" customHeight="1">
      <c r="A301" s="69"/>
      <c r="B301" s="70"/>
      <c r="C301" s="267"/>
      <c r="D301" s="268" t="s">
        <v>334</v>
      </c>
      <c r="E301" s="174"/>
      <c r="F301" s="269">
        <v>50</v>
      </c>
      <c r="G301" s="270"/>
      <c r="H301" s="73"/>
      <c r="I301" s="321"/>
      <c r="J301" s="310"/>
      <c r="K301" s="294"/>
      <c r="L301" s="294"/>
      <c r="M301" s="294"/>
      <c r="N301" s="294"/>
      <c r="O301" s="294"/>
      <c r="P301" s="294"/>
      <c r="Q301" s="309"/>
      <c r="R301" s="294"/>
      <c r="S301" s="294"/>
      <c r="T301" s="294"/>
      <c r="U301" s="294"/>
      <c r="V301" s="294"/>
      <c r="W301" s="294"/>
      <c r="X301" s="294"/>
      <c r="Y301" s="294"/>
      <c r="Z301" s="294"/>
      <c r="AA301" s="294"/>
      <c r="AB301" s="294"/>
      <c r="AC301" s="294"/>
      <c r="AD301" s="294"/>
      <c r="AE301" s="294"/>
      <c r="AF301" s="294"/>
      <c r="AG301" s="294"/>
      <c r="AH301" s="294"/>
      <c r="AI301" s="294"/>
      <c r="AJ301" s="294"/>
      <c r="AK301" s="294"/>
      <c r="AL301" s="294"/>
      <c r="AM301" s="294"/>
      <c r="AN301" s="294"/>
      <c r="AO301" s="294"/>
      <c r="AP301" s="294"/>
      <c r="AQ301" s="294"/>
      <c r="AR301" s="294"/>
      <c r="AS301" s="294"/>
      <c r="AT301" s="294"/>
      <c r="AU301" s="294"/>
    </row>
    <row r="302" spans="1:74" s="12" customFormat="1" ht="13.5" customHeight="1">
      <c r="A302" s="175"/>
      <c r="B302" s="176"/>
      <c r="C302" s="176"/>
      <c r="D302" s="78" t="s">
        <v>335</v>
      </c>
      <c r="E302" s="176"/>
      <c r="F302" s="269"/>
      <c r="G302" s="177"/>
      <c r="H302" s="178"/>
      <c r="I302" s="68"/>
      <c r="J302" s="344"/>
      <c r="K302" s="277"/>
      <c r="L302" s="277"/>
      <c r="M302" s="277"/>
      <c r="N302" s="277"/>
      <c r="O302" s="277"/>
      <c r="P302" s="277"/>
      <c r="Q302" s="283"/>
      <c r="R302" s="277"/>
      <c r="S302" s="277"/>
      <c r="T302" s="277"/>
      <c r="U302" s="277"/>
      <c r="V302" s="277"/>
      <c r="W302" s="277"/>
      <c r="X302" s="277"/>
      <c r="Y302" s="277"/>
      <c r="Z302" s="277"/>
      <c r="AA302" s="277"/>
      <c r="AB302" s="277"/>
      <c r="AC302" s="277"/>
      <c r="AD302" s="277"/>
      <c r="AE302" s="277"/>
      <c r="AF302" s="277"/>
      <c r="AG302" s="277"/>
      <c r="AH302" s="277"/>
      <c r="AI302" s="277"/>
      <c r="AJ302" s="277"/>
      <c r="AK302" s="277"/>
      <c r="AL302" s="277"/>
      <c r="AM302" s="277"/>
      <c r="AN302" s="277"/>
      <c r="AO302" s="277"/>
      <c r="AP302" s="277"/>
      <c r="AQ302" s="277"/>
      <c r="AR302" s="277"/>
      <c r="AS302" s="277"/>
      <c r="AT302" s="277"/>
      <c r="AU302" s="277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</row>
    <row r="303" spans="1:74" s="241" customFormat="1" ht="13.5" customHeight="1">
      <c r="A303" s="69">
        <v>56</v>
      </c>
      <c r="B303" s="70" t="s">
        <v>282</v>
      </c>
      <c r="C303" s="173">
        <v>763131832</v>
      </c>
      <c r="D303" s="114" t="s">
        <v>286</v>
      </c>
      <c r="E303" s="174" t="s">
        <v>36</v>
      </c>
      <c r="F303" s="233">
        <f>SUM(F304:F305)</f>
        <v>8.11</v>
      </c>
      <c r="G303" s="234"/>
      <c r="H303" s="73">
        <f>F303*G303</f>
        <v>0</v>
      </c>
      <c r="I303" s="106" t="s">
        <v>284</v>
      </c>
      <c r="J303" s="308"/>
      <c r="K303" s="294"/>
      <c r="L303" s="294"/>
      <c r="M303" s="294"/>
      <c r="N303" s="294"/>
      <c r="O303" s="298"/>
      <c r="P303" s="308"/>
      <c r="Q303" s="309"/>
      <c r="R303" s="309"/>
      <c r="S303" s="294"/>
      <c r="T303" s="294"/>
      <c r="U303" s="294"/>
      <c r="V303" s="294"/>
      <c r="W303" s="294"/>
      <c r="X303" s="294"/>
      <c r="Y303" s="294"/>
      <c r="Z303" s="294"/>
      <c r="AA303" s="294"/>
      <c r="AB303" s="294"/>
      <c r="AC303" s="294"/>
      <c r="AD303" s="294"/>
      <c r="AE303" s="294"/>
      <c r="AF303" s="294"/>
      <c r="AG303" s="294"/>
      <c r="AH303" s="294"/>
      <c r="AI303" s="294"/>
      <c r="AJ303" s="294"/>
      <c r="AK303" s="294"/>
      <c r="AL303" s="294"/>
      <c r="AM303" s="294"/>
      <c r="AN303" s="294"/>
      <c r="AO303" s="294"/>
      <c r="AP303" s="294"/>
      <c r="AQ303" s="294"/>
      <c r="AR303" s="294"/>
      <c r="AS303" s="294"/>
      <c r="AT303" s="294"/>
      <c r="AU303" s="294"/>
    </row>
    <row r="304" spans="1:74" s="241" customFormat="1" ht="13.5" customHeight="1">
      <c r="A304" s="69"/>
      <c r="B304" s="70"/>
      <c r="C304" s="267"/>
      <c r="D304" s="268" t="s">
        <v>287</v>
      </c>
      <c r="E304" s="174"/>
      <c r="F304" s="269">
        <f>4.11</f>
        <v>4.1100000000000003</v>
      </c>
      <c r="G304" s="270"/>
      <c r="H304" s="73"/>
      <c r="I304" s="321"/>
      <c r="J304" s="310"/>
      <c r="K304" s="294"/>
      <c r="L304" s="294"/>
      <c r="M304" s="294"/>
      <c r="N304" s="294"/>
      <c r="O304" s="294"/>
      <c r="P304" s="294"/>
      <c r="Q304" s="309"/>
      <c r="R304" s="294"/>
      <c r="S304" s="294"/>
      <c r="T304" s="294"/>
      <c r="U304" s="294"/>
      <c r="V304" s="294"/>
      <c r="W304" s="294"/>
      <c r="X304" s="294"/>
      <c r="Y304" s="294"/>
      <c r="Z304" s="294"/>
      <c r="AA304" s="294"/>
      <c r="AB304" s="294"/>
      <c r="AC304" s="294"/>
      <c r="AD304" s="294"/>
      <c r="AE304" s="294"/>
      <c r="AF304" s="294"/>
      <c r="AG304" s="294"/>
      <c r="AH304" s="294"/>
      <c r="AI304" s="294"/>
      <c r="AJ304" s="294"/>
      <c r="AK304" s="294"/>
      <c r="AL304" s="294"/>
      <c r="AM304" s="294"/>
      <c r="AN304" s="294"/>
      <c r="AO304" s="294"/>
      <c r="AP304" s="294"/>
      <c r="AQ304" s="294"/>
      <c r="AR304" s="294"/>
      <c r="AS304" s="294"/>
      <c r="AT304" s="294"/>
      <c r="AU304" s="294"/>
    </row>
    <row r="305" spans="1:74" s="241" customFormat="1" ht="13.5" customHeight="1">
      <c r="A305" s="69"/>
      <c r="B305" s="70"/>
      <c r="C305" s="267"/>
      <c r="D305" s="268" t="s">
        <v>288</v>
      </c>
      <c r="E305" s="174"/>
      <c r="F305" s="269">
        <f>4</f>
        <v>4</v>
      </c>
      <c r="G305" s="270"/>
      <c r="H305" s="73"/>
      <c r="I305" s="106"/>
      <c r="J305" s="278"/>
      <c r="K305" s="294"/>
      <c r="L305" s="294"/>
      <c r="M305" s="294"/>
      <c r="N305" s="294"/>
      <c r="O305" s="294"/>
      <c r="P305" s="294"/>
      <c r="Q305" s="309"/>
      <c r="R305" s="294"/>
      <c r="S305" s="294"/>
      <c r="T305" s="294"/>
      <c r="U305" s="294"/>
      <c r="V305" s="294"/>
      <c r="W305" s="294"/>
      <c r="X305" s="294"/>
      <c r="Y305" s="294"/>
      <c r="Z305" s="294"/>
      <c r="AA305" s="294"/>
      <c r="AB305" s="294"/>
      <c r="AC305" s="294"/>
      <c r="AD305" s="294"/>
      <c r="AE305" s="294"/>
      <c r="AF305" s="294"/>
      <c r="AG305" s="294"/>
      <c r="AH305" s="294"/>
      <c r="AI305" s="294"/>
      <c r="AJ305" s="294"/>
      <c r="AK305" s="294"/>
      <c r="AL305" s="294"/>
      <c r="AM305" s="294"/>
      <c r="AN305" s="294"/>
      <c r="AO305" s="294"/>
      <c r="AP305" s="294"/>
      <c r="AQ305" s="294"/>
      <c r="AR305" s="294"/>
      <c r="AS305" s="294"/>
      <c r="AT305" s="294"/>
      <c r="AU305" s="294"/>
    </row>
    <row r="306" spans="1:74" s="12" customFormat="1" ht="13.5" customHeight="1">
      <c r="A306" s="175"/>
      <c r="B306" s="176"/>
      <c r="C306" s="176"/>
      <c r="D306" s="78" t="s">
        <v>289</v>
      </c>
      <c r="E306" s="176"/>
      <c r="F306" s="269"/>
      <c r="G306" s="177"/>
      <c r="H306" s="178"/>
      <c r="I306" s="68"/>
      <c r="J306" s="277"/>
      <c r="K306" s="277"/>
      <c r="L306" s="277"/>
      <c r="M306" s="277"/>
      <c r="N306" s="277"/>
      <c r="O306" s="277"/>
      <c r="P306" s="277"/>
      <c r="Q306" s="283"/>
      <c r="R306" s="277"/>
      <c r="S306" s="277"/>
      <c r="T306" s="277"/>
      <c r="U306" s="277"/>
      <c r="V306" s="277"/>
      <c r="W306" s="277"/>
      <c r="X306" s="277"/>
      <c r="Y306" s="277"/>
      <c r="Z306" s="277"/>
      <c r="AA306" s="277"/>
      <c r="AB306" s="277"/>
      <c r="AC306" s="277"/>
      <c r="AD306" s="277"/>
      <c r="AE306" s="277"/>
      <c r="AF306" s="277"/>
      <c r="AG306" s="277"/>
      <c r="AH306" s="277"/>
      <c r="AI306" s="277"/>
      <c r="AJ306" s="277"/>
      <c r="AK306" s="277"/>
      <c r="AL306" s="277"/>
      <c r="AM306" s="277"/>
      <c r="AN306" s="277"/>
      <c r="AO306" s="277"/>
      <c r="AP306" s="277"/>
      <c r="AQ306" s="277"/>
      <c r="AR306" s="277"/>
      <c r="AS306" s="277"/>
      <c r="AT306" s="277"/>
      <c r="AU306" s="277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</row>
    <row r="307" spans="1:74" s="241" customFormat="1" ht="27" customHeight="1">
      <c r="A307" s="69">
        <v>57</v>
      </c>
      <c r="B307" s="70" t="s">
        <v>282</v>
      </c>
      <c r="C307" s="173">
        <v>763121822</v>
      </c>
      <c r="D307" s="114" t="s">
        <v>290</v>
      </c>
      <c r="E307" s="174" t="s">
        <v>36</v>
      </c>
      <c r="F307" s="233">
        <f>SUM(F308:F313)</f>
        <v>26.769999999999996</v>
      </c>
      <c r="G307" s="234"/>
      <c r="H307" s="73">
        <f>F307*G307</f>
        <v>0</v>
      </c>
      <c r="I307" s="106" t="s">
        <v>284</v>
      </c>
      <c r="J307" s="308"/>
      <c r="K307" s="294"/>
      <c r="L307" s="294"/>
      <c r="M307" s="294"/>
      <c r="N307" s="294"/>
      <c r="O307" s="298"/>
      <c r="P307" s="308"/>
      <c r="Q307" s="309"/>
      <c r="R307" s="309"/>
      <c r="S307" s="294"/>
      <c r="T307" s="294"/>
      <c r="U307" s="294"/>
      <c r="V307" s="294"/>
      <c r="W307" s="294"/>
      <c r="X307" s="294"/>
      <c r="Y307" s="294"/>
      <c r="Z307" s="294"/>
      <c r="AA307" s="294"/>
      <c r="AB307" s="294"/>
      <c r="AC307" s="294"/>
      <c r="AD307" s="294"/>
      <c r="AE307" s="294"/>
      <c r="AF307" s="294"/>
      <c r="AG307" s="294"/>
      <c r="AH307" s="294"/>
      <c r="AI307" s="294"/>
      <c r="AJ307" s="294"/>
      <c r="AK307" s="294"/>
      <c r="AL307" s="294"/>
      <c r="AM307" s="294"/>
      <c r="AN307" s="294"/>
      <c r="AO307" s="294"/>
      <c r="AP307" s="294"/>
      <c r="AQ307" s="294"/>
      <c r="AR307" s="294"/>
      <c r="AS307" s="294"/>
      <c r="AT307" s="294"/>
      <c r="AU307" s="294"/>
    </row>
    <row r="308" spans="1:74" s="241" customFormat="1" ht="13.5" customHeight="1">
      <c r="A308" s="69"/>
      <c r="B308" s="70"/>
      <c r="C308" s="267"/>
      <c r="D308" s="268" t="s">
        <v>291</v>
      </c>
      <c r="E308" s="174"/>
      <c r="F308" s="269">
        <f>1.93</f>
        <v>1.93</v>
      </c>
      <c r="G308" s="270"/>
      <c r="H308" s="73"/>
      <c r="I308" s="321"/>
      <c r="J308" s="278"/>
      <c r="K308" s="278"/>
      <c r="L308" s="278"/>
      <c r="M308" s="278"/>
      <c r="N308" s="294"/>
      <c r="O308" s="294"/>
      <c r="P308" s="294"/>
      <c r="Q308" s="309"/>
      <c r="R308" s="294"/>
      <c r="S308" s="294"/>
      <c r="T308" s="294"/>
      <c r="U308" s="294"/>
      <c r="V308" s="294"/>
      <c r="W308" s="294"/>
      <c r="X308" s="294"/>
      <c r="Y308" s="294"/>
      <c r="Z308" s="294"/>
      <c r="AA308" s="294"/>
      <c r="AB308" s="294"/>
      <c r="AC308" s="294"/>
      <c r="AD308" s="294"/>
      <c r="AE308" s="294"/>
      <c r="AF308" s="294"/>
      <c r="AG308" s="294"/>
      <c r="AH308" s="294"/>
      <c r="AI308" s="294"/>
      <c r="AJ308" s="294"/>
      <c r="AK308" s="294"/>
      <c r="AL308" s="294"/>
      <c r="AM308" s="294"/>
      <c r="AN308" s="294"/>
      <c r="AO308" s="294"/>
      <c r="AP308" s="294"/>
      <c r="AQ308" s="294"/>
      <c r="AR308" s="294"/>
      <c r="AS308" s="294"/>
      <c r="AT308" s="294"/>
      <c r="AU308" s="294"/>
    </row>
    <row r="309" spans="1:74" s="241" customFormat="1" ht="13.5" customHeight="1">
      <c r="A309" s="69"/>
      <c r="B309" s="70"/>
      <c r="C309" s="267"/>
      <c r="D309" s="268" t="s">
        <v>292</v>
      </c>
      <c r="E309" s="174"/>
      <c r="F309" s="269">
        <f>7.12</f>
        <v>7.12</v>
      </c>
      <c r="G309" s="270"/>
      <c r="H309" s="73"/>
      <c r="I309" s="106"/>
      <c r="J309" s="310"/>
      <c r="K309" s="294"/>
      <c r="L309" s="294"/>
      <c r="M309" s="294"/>
      <c r="N309" s="294"/>
      <c r="O309" s="294"/>
      <c r="P309" s="294"/>
      <c r="Q309" s="309"/>
      <c r="R309" s="294"/>
      <c r="S309" s="294"/>
      <c r="T309" s="294"/>
      <c r="U309" s="294"/>
      <c r="V309" s="294"/>
      <c r="W309" s="294"/>
      <c r="X309" s="294"/>
      <c r="Y309" s="294"/>
      <c r="Z309" s="294"/>
      <c r="AA309" s="294"/>
      <c r="AB309" s="294"/>
      <c r="AC309" s="294"/>
      <c r="AD309" s="294"/>
      <c r="AE309" s="294"/>
      <c r="AF309" s="294"/>
      <c r="AG309" s="294"/>
      <c r="AH309" s="294"/>
      <c r="AI309" s="294"/>
      <c r="AJ309" s="294"/>
      <c r="AK309" s="294"/>
      <c r="AL309" s="294"/>
      <c r="AM309" s="294"/>
      <c r="AN309" s="294"/>
      <c r="AO309" s="294"/>
      <c r="AP309" s="294"/>
      <c r="AQ309" s="294"/>
      <c r="AR309" s="294"/>
      <c r="AS309" s="294"/>
      <c r="AT309" s="294"/>
      <c r="AU309" s="294"/>
    </row>
    <row r="310" spans="1:74" s="241" customFormat="1" ht="13.5" customHeight="1">
      <c r="A310" s="69"/>
      <c r="B310" s="70"/>
      <c r="C310" s="267"/>
      <c r="D310" s="268" t="s">
        <v>293</v>
      </c>
      <c r="E310" s="174"/>
      <c r="F310" s="269">
        <f>7.67</f>
        <v>7.67</v>
      </c>
      <c r="G310" s="270"/>
      <c r="H310" s="73"/>
      <c r="I310" s="106"/>
      <c r="J310" s="310"/>
      <c r="K310" s="294"/>
      <c r="L310" s="294"/>
      <c r="M310" s="294"/>
      <c r="N310" s="294"/>
      <c r="O310" s="294"/>
      <c r="P310" s="294"/>
      <c r="Q310" s="309"/>
      <c r="R310" s="294"/>
      <c r="S310" s="294"/>
      <c r="T310" s="294"/>
      <c r="U310" s="294"/>
      <c r="V310" s="294"/>
      <c r="W310" s="294"/>
      <c r="X310" s="294"/>
      <c r="Y310" s="294"/>
      <c r="Z310" s="294"/>
      <c r="AA310" s="294"/>
      <c r="AB310" s="294"/>
      <c r="AC310" s="294"/>
      <c r="AD310" s="294"/>
      <c r="AE310" s="294"/>
      <c r="AF310" s="294"/>
      <c r="AG310" s="294"/>
      <c r="AH310" s="294"/>
      <c r="AI310" s="294"/>
      <c r="AJ310" s="294"/>
      <c r="AK310" s="294"/>
      <c r="AL310" s="294"/>
      <c r="AM310" s="294"/>
      <c r="AN310" s="294"/>
      <c r="AO310" s="294"/>
      <c r="AP310" s="294"/>
      <c r="AQ310" s="294"/>
      <c r="AR310" s="294"/>
      <c r="AS310" s="294"/>
      <c r="AT310" s="294"/>
      <c r="AU310" s="294"/>
    </row>
    <row r="311" spans="1:74" s="241" customFormat="1" ht="13.5" customHeight="1">
      <c r="A311" s="69"/>
      <c r="B311" s="70"/>
      <c r="C311" s="267"/>
      <c r="D311" s="268" t="s">
        <v>294</v>
      </c>
      <c r="E311" s="174"/>
      <c r="F311" s="269">
        <f>4.02</f>
        <v>4.0199999999999996</v>
      </c>
      <c r="G311" s="270"/>
      <c r="H311" s="73"/>
      <c r="I311" s="106"/>
      <c r="J311" s="310"/>
      <c r="K311" s="294"/>
      <c r="L311" s="294"/>
      <c r="M311" s="294"/>
      <c r="N311" s="294"/>
      <c r="O311" s="294"/>
      <c r="P311" s="294"/>
      <c r="Q311" s="309"/>
      <c r="R311" s="294"/>
      <c r="S311" s="294"/>
      <c r="T311" s="294"/>
      <c r="U311" s="294"/>
      <c r="V311" s="294"/>
      <c r="W311" s="294"/>
      <c r="X311" s="294"/>
      <c r="Y311" s="294"/>
      <c r="Z311" s="294"/>
      <c r="AA311" s="294"/>
      <c r="AB311" s="294"/>
      <c r="AC311" s="294"/>
      <c r="AD311" s="294"/>
      <c r="AE311" s="294"/>
      <c r="AF311" s="294"/>
      <c r="AG311" s="294"/>
      <c r="AH311" s="294"/>
      <c r="AI311" s="294"/>
      <c r="AJ311" s="294"/>
      <c r="AK311" s="294"/>
      <c r="AL311" s="294"/>
      <c r="AM311" s="294"/>
      <c r="AN311" s="294"/>
      <c r="AO311" s="294"/>
      <c r="AP311" s="294"/>
      <c r="AQ311" s="294"/>
      <c r="AR311" s="294"/>
      <c r="AS311" s="294"/>
      <c r="AT311" s="294"/>
      <c r="AU311" s="294"/>
    </row>
    <row r="312" spans="1:74" s="241" customFormat="1" ht="13.5" customHeight="1">
      <c r="A312" s="69"/>
      <c r="B312" s="70"/>
      <c r="C312" s="267"/>
      <c r="D312" s="268" t="s">
        <v>295</v>
      </c>
      <c r="E312" s="174"/>
      <c r="F312" s="269">
        <f>4.02</f>
        <v>4.0199999999999996</v>
      </c>
      <c r="G312" s="270"/>
      <c r="H312" s="73"/>
      <c r="I312" s="106"/>
      <c r="J312" s="310"/>
      <c r="K312" s="294"/>
      <c r="L312" s="294"/>
      <c r="M312" s="294"/>
      <c r="N312" s="294"/>
      <c r="O312" s="294"/>
      <c r="P312" s="294"/>
      <c r="Q312" s="309"/>
      <c r="R312" s="294"/>
      <c r="S312" s="294"/>
      <c r="T312" s="294"/>
      <c r="U312" s="294"/>
      <c r="V312" s="294"/>
      <c r="W312" s="294"/>
      <c r="X312" s="294"/>
      <c r="Y312" s="294"/>
      <c r="Z312" s="294"/>
      <c r="AA312" s="294"/>
      <c r="AB312" s="294"/>
      <c r="AC312" s="294"/>
      <c r="AD312" s="294"/>
      <c r="AE312" s="294"/>
      <c r="AF312" s="294"/>
      <c r="AG312" s="294"/>
      <c r="AH312" s="294"/>
      <c r="AI312" s="294"/>
      <c r="AJ312" s="294"/>
      <c r="AK312" s="294"/>
      <c r="AL312" s="294"/>
      <c r="AM312" s="294"/>
      <c r="AN312" s="294"/>
      <c r="AO312" s="294"/>
      <c r="AP312" s="294"/>
      <c r="AQ312" s="294"/>
      <c r="AR312" s="294"/>
      <c r="AS312" s="294"/>
      <c r="AT312" s="294"/>
      <c r="AU312" s="294"/>
    </row>
    <row r="313" spans="1:74" s="241" customFormat="1" ht="13.5" customHeight="1">
      <c r="A313" s="69"/>
      <c r="B313" s="70"/>
      <c r="C313" s="267"/>
      <c r="D313" s="268" t="s">
        <v>296</v>
      </c>
      <c r="E313" s="174"/>
      <c r="F313" s="269">
        <f>2.01</f>
        <v>2.0099999999999998</v>
      </c>
      <c r="G313" s="270"/>
      <c r="H313" s="73"/>
      <c r="I313" s="106"/>
      <c r="J313" s="310"/>
      <c r="K313" s="294"/>
      <c r="L313" s="294"/>
      <c r="M313" s="294"/>
      <c r="N313" s="294"/>
      <c r="O313" s="294"/>
      <c r="P313" s="294"/>
      <c r="Q313" s="309"/>
      <c r="R313" s="294"/>
      <c r="S313" s="294"/>
      <c r="T313" s="294"/>
      <c r="U313" s="294"/>
      <c r="V313" s="294"/>
      <c r="W313" s="294"/>
      <c r="X313" s="294"/>
      <c r="Y313" s="294"/>
      <c r="Z313" s="294"/>
      <c r="AA313" s="294"/>
      <c r="AB313" s="294"/>
      <c r="AC313" s="294"/>
      <c r="AD313" s="294"/>
      <c r="AE313" s="294"/>
      <c r="AF313" s="294"/>
      <c r="AG313" s="294"/>
      <c r="AH313" s="294"/>
      <c r="AI313" s="294"/>
      <c r="AJ313" s="294"/>
      <c r="AK313" s="294"/>
      <c r="AL313" s="294"/>
      <c r="AM313" s="294"/>
      <c r="AN313" s="294"/>
      <c r="AO313" s="294"/>
      <c r="AP313" s="294"/>
      <c r="AQ313" s="294"/>
      <c r="AR313" s="294"/>
      <c r="AS313" s="294"/>
      <c r="AT313" s="294"/>
      <c r="AU313" s="294"/>
    </row>
    <row r="314" spans="1:74" s="12" customFormat="1" ht="13.5" customHeight="1">
      <c r="A314" s="175"/>
      <c r="B314" s="176"/>
      <c r="C314" s="176"/>
      <c r="D314" s="78" t="s">
        <v>285</v>
      </c>
      <c r="E314" s="176"/>
      <c r="F314" s="269"/>
      <c r="G314" s="177"/>
      <c r="H314" s="178"/>
      <c r="I314" s="68"/>
      <c r="J314" s="277"/>
      <c r="K314" s="277"/>
      <c r="L314" s="277"/>
      <c r="M314" s="277"/>
      <c r="N314" s="277"/>
      <c r="O314" s="281"/>
      <c r="P314" s="277"/>
      <c r="Q314" s="283"/>
      <c r="R314" s="277"/>
      <c r="S314" s="277"/>
      <c r="T314" s="277"/>
      <c r="U314" s="277"/>
      <c r="V314" s="277"/>
      <c r="W314" s="277"/>
      <c r="X314" s="277"/>
      <c r="Y314" s="277"/>
      <c r="Z314" s="277"/>
      <c r="AA314" s="277"/>
      <c r="AB314" s="277"/>
      <c r="AC314" s="277"/>
      <c r="AD314" s="277"/>
      <c r="AE314" s="277"/>
      <c r="AF314" s="277"/>
      <c r="AG314" s="277"/>
      <c r="AH314" s="277"/>
      <c r="AI314" s="277"/>
      <c r="AJ314" s="277"/>
      <c r="AK314" s="277"/>
      <c r="AL314" s="277"/>
      <c r="AM314" s="277"/>
      <c r="AN314" s="277"/>
      <c r="AO314" s="277"/>
      <c r="AP314" s="277"/>
      <c r="AQ314" s="277"/>
      <c r="AR314" s="277"/>
      <c r="AS314" s="277"/>
      <c r="AT314" s="277"/>
      <c r="AU314" s="277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</row>
    <row r="315" spans="1:74" s="38" customFormat="1" ht="13.5" customHeight="1">
      <c r="A315" s="271">
        <v>58</v>
      </c>
      <c r="B315" s="120" t="s">
        <v>282</v>
      </c>
      <c r="C315" s="120">
        <v>763411811</v>
      </c>
      <c r="D315" s="120" t="s">
        <v>297</v>
      </c>
      <c r="E315" s="120" t="s">
        <v>36</v>
      </c>
      <c r="F315" s="272">
        <f>SUM(F317:F321)</f>
        <v>51.600000000000009</v>
      </c>
      <c r="G315" s="273"/>
      <c r="H315" s="273">
        <f>F315*G315</f>
        <v>0</v>
      </c>
      <c r="I315" s="155" t="s">
        <v>37</v>
      </c>
      <c r="J315" s="278"/>
    </row>
    <row r="316" spans="1:74" s="38" customFormat="1" ht="13.5" customHeight="1">
      <c r="A316" s="271"/>
      <c r="B316" s="120"/>
      <c r="C316" s="120"/>
      <c r="D316" s="274" t="s">
        <v>298</v>
      </c>
      <c r="E316" s="120"/>
      <c r="G316" s="273"/>
      <c r="H316" s="273"/>
      <c r="I316" s="321"/>
      <c r="J316" s="278"/>
    </row>
    <row r="317" spans="1:74" s="8" customFormat="1" ht="13.5" customHeight="1">
      <c r="A317" s="76"/>
      <c r="B317" s="77"/>
      <c r="C317" s="77"/>
      <c r="D317" s="78" t="s">
        <v>299</v>
      </c>
      <c r="E317" s="77"/>
      <c r="F317" s="275">
        <f>(1.55+1.9-0.6*2)*2</f>
        <v>4.5</v>
      </c>
      <c r="G317" s="80"/>
      <c r="H317" s="80"/>
      <c r="I317" s="81"/>
      <c r="J317" s="337"/>
      <c r="K317" s="277"/>
      <c r="L317" s="277"/>
      <c r="M317" s="277"/>
      <c r="N317" s="277"/>
      <c r="O317" s="277"/>
      <c r="P317" s="277"/>
      <c r="Q317" s="277"/>
      <c r="R317" s="277"/>
      <c r="S317" s="277"/>
      <c r="T317" s="277"/>
      <c r="U317" s="277"/>
      <c r="V317" s="277"/>
      <c r="W317" s="277"/>
      <c r="X317" s="277"/>
      <c r="Y317" s="277"/>
      <c r="Z317" s="277"/>
      <c r="AA317" s="277"/>
      <c r="AB317" s="277"/>
      <c r="AC317" s="277"/>
      <c r="AD317" s="277"/>
      <c r="AE317" s="277"/>
      <c r="AF317" s="277"/>
      <c r="AG317" s="277"/>
      <c r="AH317" s="277"/>
      <c r="AI317" s="277"/>
      <c r="AJ317" s="277"/>
      <c r="AK317" s="277"/>
      <c r="AL317" s="277"/>
      <c r="AM317" s="277"/>
      <c r="AN317" s="277"/>
      <c r="AO317" s="277"/>
      <c r="AP317" s="277"/>
      <c r="AQ317" s="277"/>
      <c r="AR317" s="277"/>
      <c r="AS317" s="277"/>
      <c r="AT317" s="277"/>
      <c r="AU317" s="277"/>
      <c r="AV317" s="75"/>
      <c r="AW317" s="75"/>
      <c r="AX317" s="75"/>
      <c r="AY317" s="75"/>
      <c r="AZ317" s="75"/>
      <c r="BA317" s="75"/>
      <c r="BB317" s="75"/>
      <c r="BC317" s="75"/>
      <c r="BD317" s="75"/>
      <c r="BE317" s="75"/>
      <c r="BF317" s="75"/>
      <c r="BG317" s="75"/>
      <c r="BH317" s="75"/>
      <c r="BI317" s="75"/>
      <c r="BJ317" s="75"/>
      <c r="BK317" s="75"/>
      <c r="BL317" s="75"/>
      <c r="BM317" s="75"/>
      <c r="BN317" s="75"/>
      <c r="BO317" s="75"/>
      <c r="BP317" s="75"/>
      <c r="BQ317" s="75"/>
      <c r="BR317" s="75"/>
      <c r="BS317" s="75"/>
      <c r="BT317" s="75"/>
      <c r="BU317" s="75"/>
      <c r="BV317" s="75"/>
    </row>
    <row r="318" spans="1:74" s="8" customFormat="1" ht="13.5" customHeight="1">
      <c r="A318" s="76"/>
      <c r="B318" s="77"/>
      <c r="C318" s="77"/>
      <c r="D318" s="78" t="s">
        <v>300</v>
      </c>
      <c r="E318" s="77"/>
      <c r="F318" s="275">
        <f>(1.3+1.2+2.15+1.45+1.35+3.2-0.6*6)*2</f>
        <v>14.100000000000005</v>
      </c>
      <c r="G318" s="80"/>
      <c r="H318" s="80"/>
      <c r="I318" s="81"/>
      <c r="J318" s="337"/>
      <c r="K318" s="277"/>
      <c r="L318" s="277"/>
      <c r="M318" s="277"/>
      <c r="N318" s="277"/>
      <c r="O318" s="277"/>
      <c r="P318" s="277"/>
      <c r="Q318" s="277"/>
      <c r="R318" s="277"/>
      <c r="S318" s="277"/>
      <c r="T318" s="277"/>
      <c r="U318" s="277"/>
      <c r="V318" s="277"/>
      <c r="W318" s="277"/>
      <c r="X318" s="277"/>
      <c r="Y318" s="277"/>
      <c r="Z318" s="277"/>
      <c r="AA318" s="277"/>
      <c r="AB318" s="277"/>
      <c r="AC318" s="277"/>
      <c r="AD318" s="277"/>
      <c r="AE318" s="277"/>
      <c r="AF318" s="277"/>
      <c r="AG318" s="277"/>
      <c r="AH318" s="277"/>
      <c r="AI318" s="277"/>
      <c r="AJ318" s="277"/>
      <c r="AK318" s="277"/>
      <c r="AL318" s="277"/>
      <c r="AM318" s="277"/>
      <c r="AN318" s="277"/>
      <c r="AO318" s="277"/>
      <c r="AP318" s="277"/>
      <c r="AQ318" s="277"/>
      <c r="AR318" s="277"/>
      <c r="AS318" s="277"/>
      <c r="AT318" s="277"/>
      <c r="AU318" s="277"/>
      <c r="AV318" s="75"/>
      <c r="AW318" s="75"/>
      <c r="AX318" s="75"/>
      <c r="AY318" s="75"/>
      <c r="AZ318" s="75"/>
      <c r="BA318" s="75"/>
      <c r="BB318" s="75"/>
      <c r="BC318" s="75"/>
      <c r="BD318" s="75"/>
      <c r="BE318" s="75"/>
      <c r="BF318" s="75"/>
      <c r="BG318" s="75"/>
      <c r="BH318" s="75"/>
      <c r="BI318" s="75"/>
      <c r="BJ318" s="75"/>
      <c r="BK318" s="75"/>
      <c r="BL318" s="75"/>
      <c r="BM318" s="75"/>
      <c r="BN318" s="75"/>
      <c r="BO318" s="75"/>
      <c r="BP318" s="75"/>
      <c r="BQ318" s="75"/>
      <c r="BR318" s="75"/>
      <c r="BS318" s="75"/>
      <c r="BT318" s="75"/>
      <c r="BU318" s="75"/>
      <c r="BV318" s="75"/>
    </row>
    <row r="319" spans="1:74" s="8" customFormat="1" ht="13.5" customHeight="1">
      <c r="A319" s="76"/>
      <c r="B319" s="77"/>
      <c r="C319" s="77"/>
      <c r="D319" s="78" t="s">
        <v>301</v>
      </c>
      <c r="E319" s="77"/>
      <c r="F319" s="275">
        <f>(1.3+1.2+2+1.45+1.35+3.2-0.6*6)*2</f>
        <v>13.8</v>
      </c>
      <c r="G319" s="80"/>
      <c r="H319" s="80"/>
      <c r="I319" s="81"/>
      <c r="J319" s="337"/>
      <c r="K319" s="277"/>
      <c r="L319" s="277"/>
      <c r="M319" s="277"/>
      <c r="N319" s="277"/>
      <c r="O319" s="277"/>
      <c r="P319" s="277"/>
      <c r="Q319" s="277"/>
      <c r="R319" s="277"/>
      <c r="S319" s="277"/>
      <c r="T319" s="277"/>
      <c r="U319" s="277"/>
      <c r="V319" s="277"/>
      <c r="W319" s="277"/>
      <c r="X319" s="277"/>
      <c r="Y319" s="277"/>
      <c r="Z319" s="277"/>
      <c r="AA319" s="277"/>
      <c r="AB319" s="277"/>
      <c r="AC319" s="277"/>
      <c r="AD319" s="277"/>
      <c r="AE319" s="277"/>
      <c r="AF319" s="277"/>
      <c r="AG319" s="277"/>
      <c r="AH319" s="277"/>
      <c r="AI319" s="277"/>
      <c r="AJ319" s="277"/>
      <c r="AK319" s="277"/>
      <c r="AL319" s="277"/>
      <c r="AM319" s="277"/>
      <c r="AN319" s="277"/>
      <c r="AO319" s="277"/>
      <c r="AP319" s="277"/>
      <c r="AQ319" s="277"/>
      <c r="AR319" s="277"/>
      <c r="AS319" s="277"/>
      <c r="AT319" s="277"/>
      <c r="AU319" s="277"/>
      <c r="AV319" s="75"/>
      <c r="AW319" s="75"/>
      <c r="AX319" s="75"/>
      <c r="AY319" s="75"/>
      <c r="AZ319" s="75"/>
      <c r="BA319" s="75"/>
      <c r="BB319" s="75"/>
      <c r="BC319" s="75"/>
      <c r="BD319" s="75"/>
      <c r="BE319" s="75"/>
      <c r="BF319" s="75"/>
      <c r="BG319" s="75"/>
      <c r="BH319" s="75"/>
      <c r="BI319" s="75"/>
      <c r="BJ319" s="75"/>
      <c r="BK319" s="75"/>
      <c r="BL319" s="75"/>
      <c r="BM319" s="75"/>
      <c r="BN319" s="75"/>
      <c r="BO319" s="75"/>
      <c r="BP319" s="75"/>
      <c r="BQ319" s="75"/>
      <c r="BR319" s="75"/>
      <c r="BS319" s="75"/>
      <c r="BT319" s="75"/>
      <c r="BU319" s="75"/>
      <c r="BV319" s="75"/>
    </row>
    <row r="320" spans="1:74" s="8" customFormat="1" ht="13.5" customHeight="1">
      <c r="A320" s="76"/>
      <c r="B320" s="77"/>
      <c r="C320" s="77"/>
      <c r="D320" s="78" t="s">
        <v>302</v>
      </c>
      <c r="E320" s="77"/>
      <c r="F320" s="275">
        <f>(1.3+3.2+1.5+1.45-0.6*4)*2</f>
        <v>10.100000000000001</v>
      </c>
      <c r="G320" s="80"/>
      <c r="H320" s="80"/>
      <c r="I320" s="81"/>
      <c r="J320" s="33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7"/>
      <c r="W320" s="277"/>
      <c r="X320" s="277"/>
      <c r="Y320" s="277"/>
      <c r="Z320" s="277"/>
      <c r="AA320" s="277"/>
      <c r="AB320" s="277"/>
      <c r="AC320" s="277"/>
      <c r="AD320" s="277"/>
      <c r="AE320" s="277"/>
      <c r="AF320" s="277"/>
      <c r="AG320" s="277"/>
      <c r="AH320" s="277"/>
      <c r="AI320" s="277"/>
      <c r="AJ320" s="277"/>
      <c r="AK320" s="277"/>
      <c r="AL320" s="277"/>
      <c r="AM320" s="277"/>
      <c r="AN320" s="277"/>
      <c r="AO320" s="277"/>
      <c r="AP320" s="277"/>
      <c r="AQ320" s="277"/>
      <c r="AR320" s="277"/>
      <c r="AS320" s="277"/>
      <c r="AT320" s="277"/>
      <c r="AU320" s="277"/>
      <c r="AV320" s="75"/>
      <c r="AW320" s="75"/>
      <c r="AX320" s="75"/>
      <c r="AY320" s="75"/>
      <c r="AZ320" s="75"/>
      <c r="BA320" s="75"/>
      <c r="BB320" s="75"/>
      <c r="BC320" s="75"/>
      <c r="BD320" s="75"/>
      <c r="BE320" s="75"/>
      <c r="BF320" s="75"/>
      <c r="BG320" s="75"/>
      <c r="BH320" s="75"/>
      <c r="BI320" s="75"/>
      <c r="BJ320" s="75"/>
      <c r="BK320" s="75"/>
      <c r="BL320" s="75"/>
      <c r="BM320" s="75"/>
      <c r="BN320" s="75"/>
      <c r="BO320" s="75"/>
      <c r="BP320" s="75"/>
      <c r="BQ320" s="75"/>
      <c r="BR320" s="75"/>
      <c r="BS320" s="75"/>
      <c r="BT320" s="75"/>
      <c r="BU320" s="75"/>
      <c r="BV320" s="75"/>
    </row>
    <row r="321" spans="1:74" s="8" customFormat="1" ht="13.5" customHeight="1">
      <c r="A321" s="76"/>
      <c r="B321" s="77"/>
      <c r="C321" s="77"/>
      <c r="D321" s="78" t="s">
        <v>303</v>
      </c>
      <c r="E321" s="77"/>
      <c r="F321" s="275">
        <f>(1.05+1.65+1.15+1.8+1.3-0.6*4)*2</f>
        <v>9.1000000000000014</v>
      </c>
      <c r="G321" s="80"/>
      <c r="H321" s="80"/>
      <c r="I321" s="81"/>
      <c r="J321" s="33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7"/>
      <c r="W321" s="277"/>
      <c r="X321" s="277"/>
      <c r="Y321" s="277"/>
      <c r="Z321" s="277"/>
      <c r="AA321" s="277"/>
      <c r="AB321" s="277"/>
      <c r="AC321" s="277"/>
      <c r="AD321" s="277"/>
      <c r="AE321" s="277"/>
      <c r="AF321" s="277"/>
      <c r="AG321" s="277"/>
      <c r="AH321" s="277"/>
      <c r="AI321" s="277"/>
      <c r="AJ321" s="277"/>
      <c r="AK321" s="277"/>
      <c r="AL321" s="277"/>
      <c r="AM321" s="277"/>
      <c r="AN321" s="277"/>
      <c r="AO321" s="277"/>
      <c r="AP321" s="277"/>
      <c r="AQ321" s="277"/>
      <c r="AR321" s="277"/>
      <c r="AS321" s="277"/>
      <c r="AT321" s="277"/>
      <c r="AU321" s="277"/>
      <c r="AV321" s="75"/>
      <c r="AW321" s="75"/>
      <c r="AX321" s="75"/>
      <c r="AY321" s="75"/>
      <c r="AZ321" s="75"/>
      <c r="BA321" s="75"/>
      <c r="BB321" s="75"/>
      <c r="BC321" s="75"/>
      <c r="BD321" s="75"/>
      <c r="BE321" s="75"/>
      <c r="BF321" s="75"/>
      <c r="BG321" s="75"/>
      <c r="BH321" s="75"/>
      <c r="BI321" s="75"/>
      <c r="BJ321" s="75"/>
      <c r="BK321" s="75"/>
      <c r="BL321" s="75"/>
      <c r="BM321" s="75"/>
      <c r="BN321" s="75"/>
      <c r="BO321" s="75"/>
      <c r="BP321" s="75"/>
      <c r="BQ321" s="75"/>
      <c r="BR321" s="75"/>
      <c r="BS321" s="75"/>
      <c r="BT321" s="75"/>
      <c r="BU321" s="75"/>
      <c r="BV321" s="75"/>
    </row>
    <row r="322" spans="1:74" s="38" customFormat="1" ht="13.5" customHeight="1">
      <c r="A322" s="271">
        <v>59</v>
      </c>
      <c r="B322" s="120" t="s">
        <v>282</v>
      </c>
      <c r="C322" s="120">
        <v>763411821</v>
      </c>
      <c r="D322" s="120" t="s">
        <v>304</v>
      </c>
      <c r="E322" s="120" t="s">
        <v>60</v>
      </c>
      <c r="F322" s="272">
        <f>SUM(F324:F328)</f>
        <v>22</v>
      </c>
      <c r="G322" s="273"/>
      <c r="H322" s="273">
        <f>F322*G322</f>
        <v>0</v>
      </c>
      <c r="I322" s="155" t="s">
        <v>37</v>
      </c>
      <c r="J322" s="276"/>
    </row>
    <row r="323" spans="1:74" s="38" customFormat="1" ht="13.5" customHeight="1">
      <c r="A323" s="271"/>
      <c r="B323" s="120"/>
      <c r="C323" s="120"/>
      <c r="D323" s="274" t="s">
        <v>305</v>
      </c>
      <c r="E323" s="120"/>
      <c r="G323" s="273"/>
      <c r="H323" s="273"/>
      <c r="I323" s="155"/>
      <c r="J323" s="276"/>
    </row>
    <row r="324" spans="1:74" s="8" customFormat="1" ht="13.5" customHeight="1">
      <c r="A324" s="76"/>
      <c r="B324" s="77"/>
      <c r="C324" s="77"/>
      <c r="D324" s="78" t="s">
        <v>255</v>
      </c>
      <c r="E324" s="77"/>
      <c r="F324" s="275">
        <v>2</v>
      </c>
      <c r="G324" s="80"/>
      <c r="H324" s="80"/>
      <c r="I324" s="81"/>
      <c r="J324" s="337"/>
      <c r="K324" s="277"/>
      <c r="L324" s="277"/>
      <c r="M324" s="277"/>
      <c r="N324" s="277"/>
      <c r="O324" s="277"/>
      <c r="P324" s="277"/>
      <c r="Q324" s="277"/>
      <c r="R324" s="277"/>
      <c r="S324" s="277"/>
      <c r="T324" s="277"/>
      <c r="U324" s="277"/>
      <c r="V324" s="277"/>
      <c r="W324" s="277"/>
      <c r="X324" s="277"/>
      <c r="Y324" s="277"/>
      <c r="Z324" s="277"/>
      <c r="AA324" s="277"/>
      <c r="AB324" s="277"/>
      <c r="AC324" s="277"/>
      <c r="AD324" s="277"/>
      <c r="AE324" s="277"/>
      <c r="AF324" s="277"/>
      <c r="AG324" s="277"/>
      <c r="AH324" s="277"/>
      <c r="AI324" s="277"/>
      <c r="AJ324" s="277"/>
      <c r="AK324" s="277"/>
      <c r="AL324" s="277"/>
      <c r="AM324" s="277"/>
      <c r="AN324" s="277"/>
      <c r="AO324" s="277"/>
      <c r="AP324" s="277"/>
      <c r="AQ324" s="277"/>
      <c r="AR324" s="277"/>
      <c r="AS324" s="277"/>
      <c r="AT324" s="277"/>
      <c r="AU324" s="277"/>
      <c r="AV324" s="75"/>
      <c r="AW324" s="75"/>
      <c r="AX324" s="75"/>
      <c r="AY324" s="75"/>
      <c r="AZ324" s="75"/>
      <c r="BA324" s="75"/>
      <c r="BB324" s="75"/>
      <c r="BC324" s="75"/>
      <c r="BD324" s="75"/>
      <c r="BE324" s="75"/>
      <c r="BF324" s="75"/>
      <c r="BG324" s="75"/>
      <c r="BH324" s="75"/>
      <c r="BI324" s="75"/>
      <c r="BJ324" s="75"/>
      <c r="BK324" s="75"/>
      <c r="BL324" s="75"/>
      <c r="BM324" s="75"/>
      <c r="BN324" s="75"/>
      <c r="BO324" s="75"/>
      <c r="BP324" s="75"/>
      <c r="BQ324" s="75"/>
      <c r="BR324" s="75"/>
      <c r="BS324" s="75"/>
      <c r="BT324" s="75"/>
      <c r="BU324" s="75"/>
      <c r="BV324" s="75"/>
    </row>
    <row r="325" spans="1:74" s="8" customFormat="1" ht="13.5" customHeight="1">
      <c r="A325" s="76"/>
      <c r="B325" s="77"/>
      <c r="C325" s="77"/>
      <c r="D325" s="78" t="s">
        <v>256</v>
      </c>
      <c r="E325" s="77"/>
      <c r="F325" s="275">
        <v>6</v>
      </c>
      <c r="G325" s="80"/>
      <c r="H325" s="80"/>
      <c r="I325" s="81"/>
      <c r="J325" s="278"/>
      <c r="K325" s="277"/>
      <c r="L325" s="277"/>
      <c r="M325" s="277"/>
      <c r="N325" s="277"/>
      <c r="O325" s="277"/>
      <c r="P325" s="277"/>
      <c r="Q325" s="277"/>
      <c r="R325" s="277"/>
      <c r="S325" s="277"/>
      <c r="T325" s="277"/>
      <c r="U325" s="277"/>
      <c r="V325" s="277"/>
      <c r="W325" s="277"/>
      <c r="X325" s="277"/>
      <c r="Y325" s="277"/>
      <c r="Z325" s="277"/>
      <c r="AA325" s="277"/>
      <c r="AB325" s="277"/>
      <c r="AC325" s="277"/>
      <c r="AD325" s="277"/>
      <c r="AE325" s="277"/>
      <c r="AF325" s="277"/>
      <c r="AG325" s="277"/>
      <c r="AH325" s="277"/>
      <c r="AI325" s="277"/>
      <c r="AJ325" s="277"/>
      <c r="AK325" s="277"/>
      <c r="AL325" s="277"/>
      <c r="AM325" s="277"/>
      <c r="AN325" s="277"/>
      <c r="AO325" s="277"/>
      <c r="AP325" s="277"/>
      <c r="AQ325" s="277"/>
      <c r="AR325" s="277"/>
      <c r="AS325" s="277"/>
      <c r="AT325" s="277"/>
      <c r="AU325" s="277"/>
      <c r="AV325" s="75"/>
      <c r="AW325" s="75"/>
      <c r="AX325" s="75"/>
      <c r="AY325" s="75"/>
      <c r="AZ325" s="75"/>
      <c r="BA325" s="75"/>
      <c r="BB325" s="75"/>
      <c r="BC325" s="75"/>
      <c r="BD325" s="75"/>
      <c r="BE325" s="75"/>
      <c r="BF325" s="75"/>
      <c r="BG325" s="75"/>
      <c r="BH325" s="75"/>
      <c r="BI325" s="75"/>
      <c r="BJ325" s="75"/>
      <c r="BK325" s="75"/>
      <c r="BL325" s="75"/>
      <c r="BM325" s="75"/>
      <c r="BN325" s="75"/>
      <c r="BO325" s="75"/>
      <c r="BP325" s="75"/>
      <c r="BQ325" s="75"/>
      <c r="BR325" s="75"/>
      <c r="BS325" s="75"/>
      <c r="BT325" s="75"/>
      <c r="BU325" s="75"/>
      <c r="BV325" s="75"/>
    </row>
    <row r="326" spans="1:74" s="8" customFormat="1" ht="13.5" customHeight="1">
      <c r="A326" s="76"/>
      <c r="B326" s="77"/>
      <c r="C326" s="77"/>
      <c r="D326" s="78" t="s">
        <v>257</v>
      </c>
      <c r="E326" s="77"/>
      <c r="F326" s="275">
        <v>6</v>
      </c>
      <c r="G326" s="80"/>
      <c r="H326" s="80"/>
      <c r="I326" s="81"/>
      <c r="J326" s="278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7"/>
      <c r="W326" s="277"/>
      <c r="X326" s="277"/>
      <c r="Y326" s="277"/>
      <c r="Z326" s="277"/>
      <c r="AA326" s="277"/>
      <c r="AB326" s="277"/>
      <c r="AC326" s="277"/>
      <c r="AD326" s="277"/>
      <c r="AE326" s="277"/>
      <c r="AF326" s="277"/>
      <c r="AG326" s="277"/>
      <c r="AH326" s="277"/>
      <c r="AI326" s="277"/>
      <c r="AJ326" s="277"/>
      <c r="AK326" s="277"/>
      <c r="AL326" s="277"/>
      <c r="AM326" s="277"/>
      <c r="AN326" s="277"/>
      <c r="AO326" s="277"/>
      <c r="AP326" s="277"/>
      <c r="AQ326" s="277"/>
      <c r="AR326" s="277"/>
      <c r="AS326" s="277"/>
      <c r="AT326" s="277"/>
      <c r="AU326" s="277"/>
      <c r="AV326" s="75"/>
      <c r="AW326" s="75"/>
      <c r="AX326" s="75"/>
      <c r="AY326" s="75"/>
      <c r="AZ326" s="75"/>
      <c r="BA326" s="75"/>
      <c r="BB326" s="75"/>
      <c r="BC326" s="75"/>
      <c r="BD326" s="75"/>
      <c r="BE326" s="75"/>
      <c r="BF326" s="75"/>
      <c r="BG326" s="75"/>
      <c r="BH326" s="75"/>
      <c r="BI326" s="75"/>
      <c r="BJ326" s="75"/>
      <c r="BK326" s="75"/>
      <c r="BL326" s="75"/>
      <c r="BM326" s="75"/>
      <c r="BN326" s="75"/>
      <c r="BO326" s="75"/>
      <c r="BP326" s="75"/>
      <c r="BQ326" s="75"/>
      <c r="BR326" s="75"/>
      <c r="BS326" s="75"/>
      <c r="BT326" s="75"/>
      <c r="BU326" s="75"/>
      <c r="BV326" s="75"/>
    </row>
    <row r="327" spans="1:74" s="8" customFormat="1" ht="13.5" customHeight="1">
      <c r="A327" s="76"/>
      <c r="B327" s="77"/>
      <c r="C327" s="77"/>
      <c r="D327" s="78" t="s">
        <v>258</v>
      </c>
      <c r="E327" s="77"/>
      <c r="F327" s="275">
        <v>4</v>
      </c>
      <c r="G327" s="80"/>
      <c r="H327" s="80"/>
      <c r="I327" s="81"/>
      <c r="J327" s="278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7"/>
      <c r="W327" s="277"/>
      <c r="X327" s="277"/>
      <c r="Y327" s="277"/>
      <c r="Z327" s="277"/>
      <c r="AA327" s="277"/>
      <c r="AB327" s="277"/>
      <c r="AC327" s="277"/>
      <c r="AD327" s="277"/>
      <c r="AE327" s="277"/>
      <c r="AF327" s="277"/>
      <c r="AG327" s="277"/>
      <c r="AH327" s="277"/>
      <c r="AI327" s="277"/>
      <c r="AJ327" s="277"/>
      <c r="AK327" s="277"/>
      <c r="AL327" s="277"/>
      <c r="AM327" s="277"/>
      <c r="AN327" s="277"/>
      <c r="AO327" s="277"/>
      <c r="AP327" s="277"/>
      <c r="AQ327" s="277"/>
      <c r="AR327" s="277"/>
      <c r="AS327" s="277"/>
      <c r="AT327" s="277"/>
      <c r="AU327" s="277"/>
      <c r="AV327" s="75"/>
      <c r="AW327" s="75"/>
      <c r="AX327" s="75"/>
      <c r="AY327" s="75"/>
      <c r="AZ327" s="75"/>
      <c r="BA327" s="75"/>
      <c r="BB327" s="75"/>
      <c r="BC327" s="75"/>
      <c r="BD327" s="75"/>
      <c r="BE327" s="75"/>
      <c r="BF327" s="75"/>
      <c r="BG327" s="75"/>
      <c r="BH327" s="75"/>
      <c r="BI327" s="75"/>
      <c r="BJ327" s="75"/>
      <c r="BK327" s="75"/>
      <c r="BL327" s="75"/>
      <c r="BM327" s="75"/>
      <c r="BN327" s="75"/>
      <c r="BO327" s="75"/>
      <c r="BP327" s="75"/>
      <c r="BQ327" s="75"/>
      <c r="BR327" s="75"/>
      <c r="BS327" s="75"/>
      <c r="BT327" s="75"/>
      <c r="BU327" s="75"/>
      <c r="BV327" s="75"/>
    </row>
    <row r="328" spans="1:74" s="8" customFormat="1" ht="13.5" customHeight="1">
      <c r="A328" s="76"/>
      <c r="B328" s="77"/>
      <c r="C328" s="77"/>
      <c r="D328" s="78" t="s">
        <v>259</v>
      </c>
      <c r="E328" s="77"/>
      <c r="F328" s="275">
        <v>4</v>
      </c>
      <c r="G328" s="80"/>
      <c r="H328" s="80"/>
      <c r="I328" s="81"/>
      <c r="J328" s="278"/>
      <c r="K328" s="277"/>
      <c r="L328" s="277"/>
      <c r="M328" s="277"/>
      <c r="N328" s="277"/>
      <c r="O328" s="277"/>
      <c r="P328" s="277"/>
      <c r="Q328" s="277"/>
      <c r="R328" s="277"/>
      <c r="S328" s="277"/>
      <c r="T328" s="277"/>
      <c r="U328" s="277"/>
      <c r="V328" s="277"/>
      <c r="W328" s="277"/>
      <c r="X328" s="277"/>
      <c r="Y328" s="277"/>
      <c r="Z328" s="277"/>
      <c r="AA328" s="277"/>
      <c r="AB328" s="277"/>
      <c r="AC328" s="277"/>
      <c r="AD328" s="277"/>
      <c r="AE328" s="277"/>
      <c r="AF328" s="277"/>
      <c r="AG328" s="277"/>
      <c r="AH328" s="277"/>
      <c r="AI328" s="277"/>
      <c r="AJ328" s="277"/>
      <c r="AK328" s="277"/>
      <c r="AL328" s="277"/>
      <c r="AM328" s="277"/>
      <c r="AN328" s="277"/>
      <c r="AO328" s="277"/>
      <c r="AP328" s="277"/>
      <c r="AQ328" s="277"/>
      <c r="AR328" s="277"/>
      <c r="AS328" s="277"/>
      <c r="AT328" s="277"/>
      <c r="AU328" s="277"/>
      <c r="AV328" s="75"/>
      <c r="AW328" s="75"/>
      <c r="AX328" s="75"/>
      <c r="AY328" s="75"/>
      <c r="AZ328" s="75"/>
      <c r="BA328" s="75"/>
      <c r="BB328" s="75"/>
      <c r="BC328" s="75"/>
      <c r="BD328" s="75"/>
      <c r="BE328" s="75"/>
      <c r="BF328" s="75"/>
      <c r="BG328" s="75"/>
      <c r="BH328" s="75"/>
      <c r="BI328" s="75"/>
      <c r="BJ328" s="75"/>
      <c r="BK328" s="75"/>
      <c r="BL328" s="75"/>
      <c r="BM328" s="75"/>
      <c r="BN328" s="75"/>
      <c r="BO328" s="75"/>
      <c r="BP328" s="75"/>
      <c r="BQ328" s="75"/>
      <c r="BR328" s="75"/>
      <c r="BS328" s="75"/>
      <c r="BT328" s="75"/>
      <c r="BU328" s="75"/>
      <c r="BV328" s="75"/>
    </row>
    <row r="329" spans="1:74" s="8" customFormat="1" ht="13.5" customHeight="1">
      <c r="A329" s="88">
        <v>60</v>
      </c>
      <c r="B329" s="91" t="s">
        <v>77</v>
      </c>
      <c r="C329" s="91" t="s">
        <v>85</v>
      </c>
      <c r="D329" s="91" t="s">
        <v>86</v>
      </c>
      <c r="E329" s="91" t="s">
        <v>80</v>
      </c>
      <c r="F329" s="92">
        <f>F330</f>
        <v>30</v>
      </c>
      <c r="G329" s="94"/>
      <c r="H329" s="94">
        <f>F329*G329</f>
        <v>0</v>
      </c>
      <c r="I329" s="74" t="s">
        <v>37</v>
      </c>
      <c r="J329" s="306"/>
      <c r="K329" s="277"/>
      <c r="L329" s="277"/>
      <c r="M329" s="277"/>
      <c r="N329" s="277"/>
      <c r="O329" s="277"/>
      <c r="P329" s="277"/>
      <c r="Q329" s="277"/>
      <c r="R329" s="307"/>
      <c r="S329" s="277"/>
      <c r="T329" s="277"/>
      <c r="U329" s="277"/>
      <c r="V329" s="277"/>
      <c r="W329" s="277"/>
      <c r="X329" s="277"/>
      <c r="Y329" s="277"/>
      <c r="Z329" s="277"/>
      <c r="AA329" s="277"/>
      <c r="AB329" s="277"/>
      <c r="AC329" s="277"/>
      <c r="AD329" s="277"/>
      <c r="AE329" s="277"/>
      <c r="AF329" s="277"/>
      <c r="AG329" s="277"/>
      <c r="AH329" s="277"/>
      <c r="AI329" s="277"/>
      <c r="AJ329" s="277"/>
      <c r="AK329" s="277"/>
      <c r="AL329" s="277"/>
      <c r="AM329" s="277"/>
      <c r="AN329" s="277"/>
      <c r="AO329" s="277"/>
      <c r="AP329" s="277"/>
      <c r="AQ329" s="277"/>
      <c r="AR329" s="277"/>
      <c r="AS329" s="277"/>
      <c r="AT329" s="277"/>
      <c r="AU329" s="277"/>
      <c r="AV329" s="75"/>
      <c r="AW329" s="75"/>
      <c r="AX329" s="75"/>
      <c r="AY329" s="75"/>
      <c r="AZ329" s="75"/>
      <c r="BA329" s="75"/>
      <c r="BB329" s="75"/>
      <c r="BC329" s="75"/>
      <c r="BD329" s="75"/>
      <c r="BE329" s="75"/>
      <c r="BF329" s="75"/>
      <c r="BG329" s="75"/>
      <c r="BH329" s="75"/>
      <c r="BI329" s="75"/>
      <c r="BJ329" s="75"/>
      <c r="BK329" s="75"/>
      <c r="BL329" s="75"/>
      <c r="BM329" s="75"/>
      <c r="BN329" s="75"/>
      <c r="BO329" s="75"/>
      <c r="BP329" s="75"/>
      <c r="BQ329" s="75"/>
      <c r="BR329" s="75"/>
      <c r="BS329" s="75"/>
      <c r="BT329" s="75"/>
      <c r="BU329" s="75"/>
      <c r="BV329" s="75"/>
    </row>
    <row r="330" spans="1:74" s="8" customFormat="1" ht="13.5" customHeight="1">
      <c r="A330" s="163"/>
      <c r="B330" s="164"/>
      <c r="C330" s="164"/>
      <c r="D330" s="124" t="s">
        <v>314</v>
      </c>
      <c r="E330" s="164"/>
      <c r="F330" s="165">
        <v>30</v>
      </c>
      <c r="G330" s="166"/>
      <c r="H330" s="94"/>
      <c r="I330" s="152"/>
      <c r="J330" s="306"/>
      <c r="K330" s="277"/>
      <c r="L330" s="277"/>
      <c r="M330" s="277"/>
      <c r="N330" s="277"/>
      <c r="O330" s="277"/>
      <c r="P330" s="277"/>
      <c r="Q330" s="277"/>
      <c r="R330" s="307"/>
      <c r="S330" s="277"/>
      <c r="T330" s="277"/>
      <c r="U330" s="277"/>
      <c r="V330" s="277"/>
      <c r="W330" s="277"/>
      <c r="X330" s="277"/>
      <c r="Y330" s="277"/>
      <c r="Z330" s="277"/>
      <c r="AA330" s="277"/>
      <c r="AB330" s="277"/>
      <c r="AC330" s="277"/>
      <c r="AD330" s="277"/>
      <c r="AE330" s="277"/>
      <c r="AF330" s="277"/>
      <c r="AG330" s="277"/>
      <c r="AH330" s="277"/>
      <c r="AI330" s="277"/>
      <c r="AJ330" s="277"/>
      <c r="AK330" s="277"/>
      <c r="AL330" s="277"/>
      <c r="AM330" s="277"/>
      <c r="AN330" s="277"/>
      <c r="AO330" s="277"/>
      <c r="AP330" s="277"/>
      <c r="AQ330" s="277"/>
      <c r="AR330" s="277"/>
      <c r="AS330" s="277"/>
      <c r="AT330" s="277"/>
      <c r="AU330" s="277"/>
      <c r="AV330" s="75"/>
      <c r="AW330" s="75"/>
      <c r="AX330" s="75"/>
      <c r="AY330" s="75"/>
      <c r="AZ330" s="75"/>
      <c r="BA330" s="75"/>
      <c r="BB330" s="75"/>
      <c r="BC330" s="75"/>
      <c r="BD330" s="75"/>
      <c r="BE330" s="75"/>
      <c r="BF330" s="75"/>
      <c r="BG330" s="75"/>
      <c r="BH330" s="75"/>
      <c r="BI330" s="75"/>
      <c r="BJ330" s="75"/>
      <c r="BK330" s="75"/>
      <c r="BL330" s="75"/>
      <c r="BM330" s="75"/>
      <c r="BN330" s="75"/>
      <c r="BO330" s="75"/>
      <c r="BP330" s="75"/>
      <c r="BQ330" s="75"/>
      <c r="BR330" s="75"/>
      <c r="BS330" s="75"/>
      <c r="BT330" s="75"/>
      <c r="BU330" s="75"/>
      <c r="BV330" s="75"/>
    </row>
    <row r="331" spans="1:74" s="8" customFormat="1" ht="13.5" customHeight="1">
      <c r="A331" s="163"/>
      <c r="B331" s="164"/>
      <c r="C331" s="164"/>
      <c r="D331" s="124" t="s">
        <v>88</v>
      </c>
      <c r="E331" s="164"/>
      <c r="F331" s="165"/>
      <c r="G331" s="166"/>
      <c r="H331" s="94"/>
      <c r="I331" s="152"/>
      <c r="J331" s="306"/>
      <c r="K331" s="277"/>
      <c r="L331" s="277"/>
      <c r="M331" s="277"/>
      <c r="N331" s="277"/>
      <c r="O331" s="277"/>
      <c r="P331" s="277"/>
      <c r="Q331" s="277"/>
      <c r="R331" s="307"/>
      <c r="S331" s="277"/>
      <c r="T331" s="277"/>
      <c r="U331" s="277"/>
      <c r="V331" s="277"/>
      <c r="W331" s="277"/>
      <c r="X331" s="277"/>
      <c r="Y331" s="277"/>
      <c r="Z331" s="277"/>
      <c r="AA331" s="277"/>
      <c r="AB331" s="277"/>
      <c r="AC331" s="277"/>
      <c r="AD331" s="277"/>
      <c r="AE331" s="277"/>
      <c r="AF331" s="277"/>
      <c r="AG331" s="277"/>
      <c r="AH331" s="277"/>
      <c r="AI331" s="277"/>
      <c r="AJ331" s="277"/>
      <c r="AK331" s="277"/>
      <c r="AL331" s="277"/>
      <c r="AM331" s="277"/>
      <c r="AN331" s="277"/>
      <c r="AO331" s="277"/>
      <c r="AP331" s="277"/>
      <c r="AQ331" s="277"/>
      <c r="AR331" s="277"/>
      <c r="AS331" s="277"/>
      <c r="AT331" s="277"/>
      <c r="AU331" s="277"/>
      <c r="AV331" s="75"/>
      <c r="AW331" s="75"/>
      <c r="AX331" s="75"/>
      <c r="AY331" s="75"/>
      <c r="AZ331" s="75"/>
      <c r="BA331" s="75"/>
      <c r="BB331" s="75"/>
      <c r="BC331" s="75"/>
      <c r="BD331" s="75"/>
      <c r="BE331" s="75"/>
      <c r="BF331" s="75"/>
      <c r="BG331" s="75"/>
      <c r="BH331" s="75"/>
      <c r="BI331" s="75"/>
      <c r="BJ331" s="75"/>
      <c r="BK331" s="75"/>
      <c r="BL331" s="75"/>
      <c r="BM331" s="75"/>
      <c r="BN331" s="75"/>
      <c r="BO331" s="75"/>
      <c r="BP331" s="75"/>
      <c r="BQ331" s="75"/>
      <c r="BR331" s="75"/>
      <c r="BS331" s="75"/>
      <c r="BT331" s="75"/>
      <c r="BU331" s="75"/>
      <c r="BV331" s="75"/>
    </row>
    <row r="332" spans="1:74" s="43" customFormat="1" ht="13.5" customHeight="1">
      <c r="A332" s="148"/>
      <c r="B332" s="149"/>
      <c r="C332" s="149">
        <v>766</v>
      </c>
      <c r="D332" s="149" t="s">
        <v>14</v>
      </c>
      <c r="E332" s="149"/>
      <c r="F332" s="150"/>
      <c r="G332" s="151"/>
      <c r="H332" s="151">
        <f>SUM(H333:H339)</f>
        <v>0</v>
      </c>
      <c r="I332" s="152"/>
      <c r="J332" s="167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  <c r="AK332" s="42"/>
      <c r="AL332" s="42"/>
      <c r="AM332" s="42"/>
      <c r="AN332" s="42"/>
      <c r="AO332" s="42"/>
      <c r="AP332" s="42"/>
      <c r="AQ332" s="42"/>
      <c r="AR332" s="42"/>
      <c r="AS332" s="42"/>
      <c r="AT332" s="42"/>
      <c r="AU332" s="42"/>
      <c r="AV332" s="42"/>
      <c r="AW332" s="42"/>
      <c r="AX332" s="42"/>
      <c r="AY332" s="42"/>
      <c r="AZ332" s="42"/>
      <c r="BA332" s="42"/>
      <c r="BB332" s="42"/>
      <c r="BC332" s="42"/>
      <c r="BD332" s="42"/>
      <c r="BE332" s="42"/>
      <c r="BF332" s="42"/>
      <c r="BG332" s="42"/>
      <c r="BH332" s="42"/>
      <c r="BI332" s="42"/>
      <c r="BJ332" s="42"/>
      <c r="BK332" s="42"/>
      <c r="BL332" s="42"/>
      <c r="BM332" s="42"/>
      <c r="BN332" s="42"/>
      <c r="BO332" s="42"/>
      <c r="BP332" s="42"/>
      <c r="BQ332" s="42"/>
      <c r="BR332" s="42"/>
      <c r="BS332" s="42"/>
      <c r="BT332" s="42"/>
      <c r="BU332" s="42"/>
      <c r="BV332" s="42"/>
    </row>
    <row r="333" spans="1:74" s="8" customFormat="1" ht="13.5" customHeight="1">
      <c r="A333" s="69">
        <v>61</v>
      </c>
      <c r="B333" s="71">
        <v>766</v>
      </c>
      <c r="C333" s="109" t="s">
        <v>89</v>
      </c>
      <c r="D333" s="71" t="s">
        <v>306</v>
      </c>
      <c r="E333" s="71" t="s">
        <v>76</v>
      </c>
      <c r="F333" s="105">
        <f>F334</f>
        <v>1</v>
      </c>
      <c r="G333" s="73"/>
      <c r="H333" s="73">
        <f>F333*G333</f>
        <v>0</v>
      </c>
      <c r="I333" s="168" t="s">
        <v>90</v>
      </c>
      <c r="J333" s="281"/>
      <c r="K333" s="277"/>
      <c r="L333" s="277"/>
      <c r="M333" s="277"/>
      <c r="N333" s="277"/>
      <c r="O333" s="277"/>
      <c r="P333" s="277"/>
      <c r="Q333" s="277"/>
      <c r="R333" s="277"/>
      <c r="S333" s="277"/>
      <c r="T333" s="277"/>
      <c r="U333" s="277"/>
      <c r="V333" s="277"/>
      <c r="W333" s="277"/>
      <c r="X333" s="277"/>
      <c r="Y333" s="277"/>
      <c r="Z333" s="277"/>
      <c r="AA333" s="277"/>
      <c r="AB333" s="277"/>
      <c r="AC333" s="277"/>
      <c r="AD333" s="277"/>
      <c r="AE333" s="277"/>
      <c r="AF333" s="277"/>
      <c r="AG333" s="277"/>
      <c r="AH333" s="277"/>
      <c r="AI333" s="277"/>
      <c r="AJ333" s="277"/>
      <c r="AK333" s="277"/>
      <c r="AL333" s="277"/>
      <c r="AM333" s="277"/>
      <c r="AN333" s="277"/>
      <c r="AO333" s="277"/>
      <c r="AP333" s="277"/>
      <c r="AQ333" s="277"/>
      <c r="AR333" s="277"/>
      <c r="AS333" s="277"/>
      <c r="AT333" s="277"/>
      <c r="AU333" s="277"/>
      <c r="AV333" s="75"/>
      <c r="AW333" s="75"/>
      <c r="AX333" s="75"/>
      <c r="AY333" s="75"/>
      <c r="AZ333" s="75"/>
      <c r="BA333" s="75"/>
      <c r="BB333" s="75"/>
      <c r="BC333" s="75"/>
      <c r="BD333" s="75"/>
      <c r="BE333" s="75"/>
      <c r="BF333" s="75"/>
      <c r="BG333" s="75"/>
      <c r="BH333" s="75"/>
      <c r="BI333" s="75"/>
      <c r="BJ333" s="75"/>
      <c r="BK333" s="75"/>
      <c r="BL333" s="75"/>
      <c r="BM333" s="75"/>
      <c r="BN333" s="75"/>
      <c r="BO333" s="75"/>
      <c r="BP333" s="75"/>
      <c r="BQ333" s="75"/>
      <c r="BR333" s="75"/>
      <c r="BS333" s="75"/>
      <c r="BT333" s="75"/>
      <c r="BU333" s="75"/>
      <c r="BV333" s="75"/>
    </row>
    <row r="334" spans="1:74" s="8" customFormat="1" ht="27" customHeight="1">
      <c r="A334" s="69"/>
      <c r="B334" s="71"/>
      <c r="C334" s="71"/>
      <c r="D334" s="78" t="s">
        <v>307</v>
      </c>
      <c r="E334" s="71"/>
      <c r="F334" s="79">
        <v>1</v>
      </c>
      <c r="G334" s="73"/>
      <c r="H334" s="73"/>
      <c r="I334" s="106"/>
      <c r="J334" s="281"/>
      <c r="K334" s="277"/>
      <c r="L334" s="277"/>
      <c r="M334" s="277"/>
      <c r="N334" s="277"/>
      <c r="O334" s="277"/>
      <c r="P334" s="277"/>
      <c r="Q334" s="277"/>
      <c r="R334" s="277"/>
      <c r="S334" s="277"/>
      <c r="T334" s="277"/>
      <c r="U334" s="277"/>
      <c r="V334" s="277"/>
      <c r="W334" s="277"/>
      <c r="X334" s="277"/>
      <c r="Y334" s="277"/>
      <c r="Z334" s="277"/>
      <c r="AA334" s="277"/>
      <c r="AB334" s="277"/>
      <c r="AC334" s="277"/>
      <c r="AD334" s="277"/>
      <c r="AE334" s="277"/>
      <c r="AF334" s="277"/>
      <c r="AG334" s="277"/>
      <c r="AH334" s="277"/>
      <c r="AI334" s="277"/>
      <c r="AJ334" s="277"/>
      <c r="AK334" s="277"/>
      <c r="AL334" s="277"/>
      <c r="AM334" s="277"/>
      <c r="AN334" s="277"/>
      <c r="AO334" s="277"/>
      <c r="AP334" s="277"/>
      <c r="AQ334" s="277"/>
      <c r="AR334" s="277"/>
      <c r="AS334" s="277"/>
      <c r="AT334" s="277"/>
      <c r="AU334" s="277"/>
      <c r="AV334" s="75"/>
      <c r="AW334" s="75"/>
      <c r="AX334" s="75"/>
      <c r="AY334" s="75"/>
      <c r="AZ334" s="75"/>
      <c r="BA334" s="75"/>
      <c r="BB334" s="75"/>
      <c r="BC334" s="75"/>
      <c r="BD334" s="75"/>
      <c r="BE334" s="75"/>
      <c r="BF334" s="75"/>
      <c r="BG334" s="75"/>
      <c r="BH334" s="75"/>
      <c r="BI334" s="75"/>
      <c r="BJ334" s="75"/>
      <c r="BK334" s="75"/>
      <c r="BL334" s="75"/>
      <c r="BM334" s="75"/>
      <c r="BN334" s="75"/>
      <c r="BO334" s="75"/>
      <c r="BP334" s="75"/>
      <c r="BQ334" s="75"/>
      <c r="BR334" s="75"/>
      <c r="BS334" s="75"/>
      <c r="BT334" s="75"/>
      <c r="BU334" s="75"/>
      <c r="BV334" s="75"/>
    </row>
    <row r="335" spans="1:74" s="8" customFormat="1" ht="13.5" customHeight="1">
      <c r="A335" s="169"/>
      <c r="B335" s="69"/>
      <c r="C335" s="77"/>
      <c r="D335" s="78" t="s">
        <v>91</v>
      </c>
      <c r="E335" s="71"/>
      <c r="F335" s="170"/>
      <c r="G335" s="171"/>
      <c r="H335" s="80"/>
      <c r="I335" s="172"/>
      <c r="J335" s="277"/>
      <c r="K335" s="277"/>
      <c r="L335" s="277"/>
      <c r="M335" s="277"/>
      <c r="N335" s="277"/>
      <c r="O335" s="277"/>
      <c r="P335" s="277"/>
      <c r="Q335" s="277"/>
      <c r="R335" s="277"/>
      <c r="S335" s="277"/>
      <c r="T335" s="277"/>
      <c r="U335" s="277"/>
      <c r="V335" s="277"/>
      <c r="W335" s="277"/>
      <c r="X335" s="277"/>
      <c r="Y335" s="277"/>
      <c r="Z335" s="277"/>
      <c r="AA335" s="277"/>
      <c r="AB335" s="277"/>
      <c r="AC335" s="277"/>
      <c r="AD335" s="277"/>
      <c r="AE335" s="277"/>
      <c r="AF335" s="277"/>
      <c r="AG335" s="277"/>
      <c r="AH335" s="277"/>
      <c r="AI335" s="277"/>
      <c r="AJ335" s="277"/>
      <c r="AK335" s="277"/>
      <c r="AL335" s="277"/>
      <c r="AM335" s="277"/>
      <c r="AN335" s="277"/>
      <c r="AO335" s="277"/>
      <c r="AP335" s="277"/>
      <c r="AQ335" s="277"/>
      <c r="AR335" s="277"/>
      <c r="AS335" s="277"/>
      <c r="AT335" s="277"/>
      <c r="AU335" s="277"/>
      <c r="AV335" s="75"/>
      <c r="AW335" s="75"/>
      <c r="AX335" s="75"/>
      <c r="AY335" s="75"/>
      <c r="AZ335" s="75"/>
      <c r="BA335" s="75"/>
      <c r="BB335" s="75"/>
      <c r="BC335" s="75"/>
      <c r="BD335" s="75"/>
      <c r="BE335" s="75"/>
      <c r="BF335" s="75"/>
      <c r="BG335" s="75"/>
      <c r="BH335" s="75"/>
      <c r="BI335" s="75"/>
      <c r="BJ335" s="75"/>
      <c r="BK335" s="75"/>
      <c r="BL335" s="75"/>
      <c r="BM335" s="75"/>
      <c r="BN335" s="75"/>
      <c r="BO335" s="75"/>
      <c r="BP335" s="75"/>
      <c r="BQ335" s="75"/>
      <c r="BR335" s="75"/>
      <c r="BS335" s="75"/>
      <c r="BT335" s="75"/>
      <c r="BU335" s="75"/>
      <c r="BV335" s="75"/>
    </row>
    <row r="336" spans="1:74" s="8" customFormat="1" ht="67.5" customHeight="1">
      <c r="A336" s="69"/>
      <c r="B336" s="70"/>
      <c r="C336" s="71"/>
      <c r="D336" s="320" t="s">
        <v>313</v>
      </c>
      <c r="E336" s="78"/>
      <c r="F336" s="79"/>
      <c r="G336" s="73"/>
      <c r="H336" s="73"/>
      <c r="I336" s="118"/>
      <c r="J336" s="277"/>
      <c r="K336" s="277"/>
      <c r="L336" s="289"/>
      <c r="M336" s="289"/>
      <c r="N336" s="289"/>
      <c r="O336" s="277"/>
      <c r="P336" s="277"/>
      <c r="Q336" s="277"/>
      <c r="R336" s="277"/>
      <c r="S336" s="277"/>
      <c r="T336" s="277"/>
      <c r="U336" s="277"/>
      <c r="V336" s="277"/>
      <c r="W336" s="277"/>
      <c r="X336" s="75"/>
      <c r="Y336" s="75"/>
      <c r="Z336" s="75"/>
      <c r="AA336" s="75"/>
      <c r="AB336" s="75"/>
      <c r="AC336" s="75"/>
      <c r="AD336" s="75"/>
      <c r="AE336" s="75"/>
      <c r="AF336" s="75"/>
      <c r="AG336" s="75"/>
      <c r="AH336" s="75"/>
      <c r="AI336" s="75"/>
      <c r="AJ336" s="75"/>
      <c r="AK336" s="75"/>
      <c r="AL336" s="75"/>
      <c r="AM336" s="75"/>
      <c r="AN336" s="75"/>
      <c r="AO336" s="75"/>
      <c r="AP336" s="75"/>
      <c r="AQ336" s="75"/>
      <c r="AR336" s="75"/>
      <c r="AS336" s="75"/>
      <c r="AT336" s="75"/>
      <c r="AU336" s="75"/>
      <c r="AV336" s="75"/>
      <c r="AW336" s="75"/>
      <c r="AX336" s="75"/>
      <c r="AY336" s="75"/>
      <c r="AZ336" s="75"/>
      <c r="BA336" s="75"/>
      <c r="BB336" s="75"/>
      <c r="BC336" s="75"/>
      <c r="BD336" s="75"/>
      <c r="BE336" s="75"/>
      <c r="BF336" s="75"/>
      <c r="BG336" s="75"/>
      <c r="BH336" s="75"/>
      <c r="BI336" s="75"/>
      <c r="BJ336" s="75"/>
      <c r="BK336" s="75"/>
      <c r="BL336" s="75"/>
      <c r="BM336" s="75"/>
      <c r="BN336" s="75"/>
      <c r="BO336" s="75"/>
      <c r="BP336" s="75"/>
      <c r="BQ336" s="75"/>
      <c r="BR336" s="75"/>
      <c r="BS336" s="75"/>
      <c r="BT336" s="75"/>
      <c r="BU336" s="75"/>
      <c r="BV336" s="75"/>
    </row>
    <row r="337" spans="1:74" s="8" customFormat="1" ht="13.5" customHeight="1">
      <c r="A337" s="88">
        <v>62</v>
      </c>
      <c r="B337" s="91" t="s">
        <v>77</v>
      </c>
      <c r="C337" s="91" t="s">
        <v>85</v>
      </c>
      <c r="D337" s="91" t="s">
        <v>86</v>
      </c>
      <c r="E337" s="91" t="s">
        <v>80</v>
      </c>
      <c r="F337" s="92">
        <f>F338</f>
        <v>1</v>
      </c>
      <c r="G337" s="94"/>
      <c r="H337" s="94">
        <f>F337*G337</f>
        <v>0</v>
      </c>
      <c r="I337" s="74" t="s">
        <v>37</v>
      </c>
      <c r="J337" s="306"/>
      <c r="K337" s="277"/>
      <c r="L337" s="277"/>
      <c r="M337" s="277"/>
      <c r="N337" s="277"/>
      <c r="O337" s="277"/>
      <c r="P337" s="277"/>
      <c r="Q337" s="277"/>
      <c r="R337" s="307"/>
      <c r="S337" s="277"/>
      <c r="T337" s="277"/>
      <c r="U337" s="277"/>
      <c r="V337" s="277"/>
      <c r="W337" s="277"/>
      <c r="X337" s="277"/>
      <c r="Y337" s="277"/>
      <c r="Z337" s="277"/>
      <c r="AA337" s="277"/>
      <c r="AB337" s="277"/>
      <c r="AC337" s="277"/>
      <c r="AD337" s="277"/>
      <c r="AE337" s="277"/>
      <c r="AF337" s="277"/>
      <c r="AG337" s="277"/>
      <c r="AH337" s="277"/>
      <c r="AI337" s="277"/>
      <c r="AJ337" s="277"/>
      <c r="AK337" s="277"/>
      <c r="AL337" s="277"/>
      <c r="AM337" s="277"/>
      <c r="AN337" s="277"/>
      <c r="AO337" s="277"/>
      <c r="AP337" s="277"/>
      <c r="AQ337" s="277"/>
      <c r="AR337" s="277"/>
      <c r="AS337" s="277"/>
      <c r="AT337" s="277"/>
      <c r="AU337" s="277"/>
      <c r="AV337" s="75"/>
      <c r="AW337" s="75"/>
      <c r="AX337" s="75"/>
      <c r="AY337" s="75"/>
      <c r="AZ337" s="75"/>
      <c r="BA337" s="75"/>
      <c r="BB337" s="75"/>
      <c r="BC337" s="75"/>
      <c r="BD337" s="75"/>
      <c r="BE337" s="75"/>
      <c r="BF337" s="75"/>
      <c r="BG337" s="75"/>
      <c r="BH337" s="75"/>
      <c r="BI337" s="75"/>
      <c r="BJ337" s="75"/>
      <c r="BK337" s="75"/>
      <c r="BL337" s="75"/>
      <c r="BM337" s="75"/>
      <c r="BN337" s="75"/>
      <c r="BO337" s="75"/>
      <c r="BP337" s="75"/>
      <c r="BQ337" s="75"/>
      <c r="BR337" s="75"/>
      <c r="BS337" s="75"/>
      <c r="BT337" s="75"/>
      <c r="BU337" s="75"/>
      <c r="BV337" s="75"/>
    </row>
    <row r="338" spans="1:74" s="8" customFormat="1" ht="13.5" customHeight="1">
      <c r="A338" s="163"/>
      <c r="B338" s="164"/>
      <c r="C338" s="164"/>
      <c r="D338" s="124" t="s">
        <v>92</v>
      </c>
      <c r="E338" s="164"/>
      <c r="F338" s="165">
        <v>1</v>
      </c>
      <c r="G338" s="166"/>
      <c r="H338" s="94"/>
      <c r="I338" s="152"/>
      <c r="J338" s="306"/>
      <c r="K338" s="277"/>
      <c r="L338" s="277"/>
      <c r="M338" s="277"/>
      <c r="N338" s="277"/>
      <c r="O338" s="277"/>
      <c r="P338" s="277"/>
      <c r="Q338" s="277"/>
      <c r="R338" s="307"/>
      <c r="S338" s="277"/>
      <c r="T338" s="277"/>
      <c r="U338" s="277"/>
      <c r="V338" s="277"/>
      <c r="W338" s="277"/>
      <c r="X338" s="277"/>
      <c r="Y338" s="277"/>
      <c r="Z338" s="277"/>
      <c r="AA338" s="277"/>
      <c r="AB338" s="277"/>
      <c r="AC338" s="277"/>
      <c r="AD338" s="277"/>
      <c r="AE338" s="277"/>
      <c r="AF338" s="277"/>
      <c r="AG338" s="277"/>
      <c r="AH338" s="277"/>
      <c r="AI338" s="277"/>
      <c r="AJ338" s="277"/>
      <c r="AK338" s="277"/>
      <c r="AL338" s="277"/>
      <c r="AM338" s="277"/>
      <c r="AN338" s="277"/>
      <c r="AO338" s="277"/>
      <c r="AP338" s="277"/>
      <c r="AQ338" s="277"/>
      <c r="AR338" s="277"/>
      <c r="AS338" s="277"/>
      <c r="AT338" s="277"/>
      <c r="AU338" s="277"/>
      <c r="AV338" s="75"/>
      <c r="AW338" s="75"/>
      <c r="AX338" s="75"/>
      <c r="AY338" s="75"/>
      <c r="AZ338" s="75"/>
      <c r="BA338" s="75"/>
      <c r="BB338" s="75"/>
      <c r="BC338" s="75"/>
      <c r="BD338" s="75"/>
      <c r="BE338" s="75"/>
      <c r="BF338" s="75"/>
      <c r="BG338" s="75"/>
      <c r="BH338" s="75"/>
      <c r="BI338" s="75"/>
      <c r="BJ338" s="75"/>
      <c r="BK338" s="75"/>
      <c r="BL338" s="75"/>
      <c r="BM338" s="75"/>
      <c r="BN338" s="75"/>
      <c r="BO338" s="75"/>
      <c r="BP338" s="75"/>
      <c r="BQ338" s="75"/>
      <c r="BR338" s="75"/>
      <c r="BS338" s="75"/>
      <c r="BT338" s="75"/>
      <c r="BU338" s="75"/>
      <c r="BV338" s="75"/>
    </row>
    <row r="339" spans="1:74" s="8" customFormat="1" ht="13.5" customHeight="1">
      <c r="A339" s="163"/>
      <c r="B339" s="164"/>
      <c r="C339" s="164"/>
      <c r="D339" s="124" t="s">
        <v>88</v>
      </c>
      <c r="E339" s="164"/>
      <c r="F339" s="165"/>
      <c r="G339" s="166"/>
      <c r="H339" s="94"/>
      <c r="I339" s="152"/>
      <c r="J339" s="306"/>
      <c r="K339" s="277"/>
      <c r="L339" s="277"/>
      <c r="M339" s="277"/>
      <c r="N339" s="277"/>
      <c r="O339" s="277"/>
      <c r="P339" s="277"/>
      <c r="Q339" s="277"/>
      <c r="R339" s="307"/>
      <c r="S339" s="277"/>
      <c r="T339" s="277"/>
      <c r="U339" s="277"/>
      <c r="V339" s="277"/>
      <c r="W339" s="277"/>
      <c r="X339" s="277"/>
      <c r="Y339" s="277"/>
      <c r="Z339" s="277"/>
      <c r="AA339" s="277"/>
      <c r="AB339" s="277"/>
      <c r="AC339" s="277"/>
      <c r="AD339" s="277"/>
      <c r="AE339" s="277"/>
      <c r="AF339" s="277"/>
      <c r="AG339" s="277"/>
      <c r="AH339" s="277"/>
      <c r="AI339" s="277"/>
      <c r="AJ339" s="277"/>
      <c r="AK339" s="277"/>
      <c r="AL339" s="277"/>
      <c r="AM339" s="277"/>
      <c r="AN339" s="277"/>
      <c r="AO339" s="277"/>
      <c r="AP339" s="277"/>
      <c r="AQ339" s="277"/>
      <c r="AR339" s="277"/>
      <c r="AS339" s="277"/>
      <c r="AT339" s="277"/>
      <c r="AU339" s="277"/>
      <c r="AV339" s="75"/>
      <c r="AW339" s="75"/>
      <c r="AX339" s="75"/>
      <c r="AY339" s="75"/>
      <c r="AZ339" s="75"/>
      <c r="BA339" s="75"/>
      <c r="BB339" s="75"/>
      <c r="BC339" s="75"/>
      <c r="BD339" s="75"/>
      <c r="BE339" s="75"/>
      <c r="BF339" s="75"/>
      <c r="BG339" s="75"/>
      <c r="BH339" s="75"/>
      <c r="BI339" s="75"/>
      <c r="BJ339" s="75"/>
      <c r="BK339" s="75"/>
      <c r="BL339" s="75"/>
      <c r="BM339" s="75"/>
      <c r="BN339" s="75"/>
      <c r="BO339" s="75"/>
      <c r="BP339" s="75"/>
      <c r="BQ339" s="75"/>
      <c r="BR339" s="75"/>
      <c r="BS339" s="75"/>
      <c r="BT339" s="75"/>
      <c r="BU339" s="75"/>
      <c r="BV339" s="75"/>
    </row>
    <row r="340" spans="1:74" s="48" customFormat="1" ht="13.5" customHeight="1">
      <c r="A340" s="148"/>
      <c r="B340" s="149"/>
      <c r="C340" s="149">
        <v>787</v>
      </c>
      <c r="D340" s="149" t="s">
        <v>15</v>
      </c>
      <c r="E340" s="149"/>
      <c r="F340" s="150"/>
      <c r="G340" s="151"/>
      <c r="H340" s="151">
        <f>SUM(H341:H346)</f>
        <v>0</v>
      </c>
      <c r="I340" s="179"/>
      <c r="J340" s="41"/>
      <c r="K340" s="154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  <c r="AS340" s="41"/>
      <c r="AT340" s="41"/>
      <c r="AU340" s="41"/>
      <c r="AV340" s="41"/>
      <c r="AW340" s="41"/>
      <c r="AX340" s="41"/>
      <c r="AY340" s="41"/>
      <c r="AZ340" s="41"/>
      <c r="BA340" s="41"/>
      <c r="BB340" s="41"/>
      <c r="BC340" s="41"/>
      <c r="BD340" s="41"/>
      <c r="BE340" s="41"/>
      <c r="BF340" s="41"/>
      <c r="BG340" s="41"/>
      <c r="BH340" s="41"/>
      <c r="BI340" s="41"/>
      <c r="BJ340" s="41"/>
      <c r="BK340" s="41"/>
      <c r="BL340" s="41"/>
      <c r="BM340" s="41"/>
      <c r="BN340" s="41"/>
      <c r="BO340" s="41"/>
      <c r="BP340" s="41"/>
      <c r="BQ340" s="41"/>
      <c r="BR340" s="41"/>
      <c r="BS340" s="41"/>
      <c r="BT340" s="41"/>
      <c r="BU340" s="41"/>
      <c r="BV340" s="41"/>
    </row>
    <row r="341" spans="1:74" s="48" customFormat="1" ht="13.5" customHeight="1">
      <c r="A341" s="88">
        <v>63</v>
      </c>
      <c r="B341" s="180">
        <v>787</v>
      </c>
      <c r="C341" s="181">
        <v>787600802</v>
      </c>
      <c r="D341" s="182" t="s">
        <v>308</v>
      </c>
      <c r="E341" s="183" t="s">
        <v>36</v>
      </c>
      <c r="F341" s="184">
        <f>SUM(F342:F343)</f>
        <v>3.42</v>
      </c>
      <c r="G341" s="185"/>
      <c r="H341" s="185">
        <f>F341*G341</f>
        <v>0</v>
      </c>
      <c r="I341" s="74" t="s">
        <v>37</v>
      </c>
      <c r="J341" s="99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  <c r="AS341" s="41"/>
      <c r="AT341" s="41"/>
      <c r="AU341" s="41"/>
      <c r="AV341" s="41"/>
      <c r="AW341" s="41"/>
      <c r="AX341" s="41"/>
      <c r="AY341" s="41"/>
      <c r="AZ341" s="41"/>
      <c r="BA341" s="41"/>
      <c r="BB341" s="41"/>
      <c r="BC341" s="41"/>
      <c r="BD341" s="41"/>
      <c r="BE341" s="41"/>
      <c r="BF341" s="41"/>
      <c r="BG341" s="41"/>
      <c r="BH341" s="41"/>
      <c r="BI341" s="41"/>
      <c r="BJ341" s="41"/>
      <c r="BK341" s="41"/>
      <c r="BL341" s="41"/>
      <c r="BM341" s="41"/>
      <c r="BN341" s="41"/>
      <c r="BO341" s="41"/>
      <c r="BP341" s="41"/>
      <c r="BQ341" s="41"/>
      <c r="BR341" s="41"/>
      <c r="BS341" s="41"/>
      <c r="BT341" s="41"/>
      <c r="BU341" s="41"/>
      <c r="BV341" s="41"/>
    </row>
    <row r="342" spans="1:74" s="48" customFormat="1" ht="13.5" customHeight="1">
      <c r="A342" s="187"/>
      <c r="B342" s="180"/>
      <c r="C342" s="181"/>
      <c r="D342" s="124" t="s">
        <v>309</v>
      </c>
      <c r="E342" s="183"/>
      <c r="F342" s="165">
        <f>(0.91*2)*1</f>
        <v>1.82</v>
      </c>
      <c r="G342" s="185"/>
      <c r="H342" s="185"/>
      <c r="I342" s="186"/>
      <c r="J342" s="154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  <c r="AS342" s="41"/>
      <c r="AT342" s="41"/>
      <c r="AU342" s="41"/>
      <c r="AV342" s="41"/>
      <c r="AW342" s="41"/>
      <c r="AX342" s="41"/>
      <c r="AY342" s="41"/>
      <c r="AZ342" s="41"/>
      <c r="BA342" s="41"/>
      <c r="BB342" s="41"/>
      <c r="BC342" s="41"/>
      <c r="BD342" s="41"/>
      <c r="BE342" s="41"/>
      <c r="BF342" s="41"/>
      <c r="BG342" s="41"/>
      <c r="BH342" s="41"/>
      <c r="BI342" s="41"/>
      <c r="BJ342" s="41"/>
      <c r="BK342" s="41"/>
      <c r="BL342" s="41"/>
      <c r="BM342" s="41"/>
      <c r="BN342" s="41"/>
      <c r="BO342" s="41"/>
      <c r="BP342" s="41"/>
      <c r="BQ342" s="41"/>
      <c r="BR342" s="41"/>
      <c r="BS342" s="41"/>
      <c r="BT342" s="41"/>
      <c r="BU342" s="41"/>
      <c r="BV342" s="41"/>
    </row>
    <row r="343" spans="1:74" s="48" customFormat="1" ht="13.5" customHeight="1">
      <c r="A343" s="187"/>
      <c r="B343" s="180"/>
      <c r="C343" s="181"/>
      <c r="D343" s="124" t="s">
        <v>310</v>
      </c>
      <c r="E343" s="183"/>
      <c r="F343" s="165">
        <f>(1*1.6)*1</f>
        <v>1.6</v>
      </c>
      <c r="G343" s="185"/>
      <c r="H343" s="185"/>
      <c r="I343" s="186"/>
      <c r="J343" s="154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  <c r="AS343" s="41"/>
      <c r="AT343" s="41"/>
      <c r="AU343" s="41"/>
      <c r="AV343" s="41"/>
      <c r="AW343" s="41"/>
      <c r="AX343" s="41"/>
      <c r="AY343" s="41"/>
      <c r="AZ343" s="41"/>
      <c r="BA343" s="41"/>
      <c r="BB343" s="41"/>
      <c r="BC343" s="41"/>
      <c r="BD343" s="41"/>
      <c r="BE343" s="41"/>
      <c r="BF343" s="41"/>
      <c r="BG343" s="41"/>
      <c r="BH343" s="41"/>
      <c r="BI343" s="41"/>
      <c r="BJ343" s="41"/>
      <c r="BK343" s="41"/>
      <c r="BL343" s="41"/>
      <c r="BM343" s="41"/>
      <c r="BN343" s="41"/>
      <c r="BO343" s="41"/>
      <c r="BP343" s="41"/>
      <c r="BQ343" s="41"/>
      <c r="BR343" s="41"/>
      <c r="BS343" s="41"/>
      <c r="BT343" s="41"/>
      <c r="BU343" s="41"/>
      <c r="BV343" s="41"/>
    </row>
    <row r="344" spans="1:74" s="8" customFormat="1" ht="13.5" customHeight="1">
      <c r="A344" s="88">
        <v>64</v>
      </c>
      <c r="B344" s="91" t="s">
        <v>77</v>
      </c>
      <c r="C344" s="91" t="s">
        <v>85</v>
      </c>
      <c r="D344" s="91" t="s">
        <v>86</v>
      </c>
      <c r="E344" s="91" t="s">
        <v>80</v>
      </c>
      <c r="F344" s="92">
        <f>F345</f>
        <v>0.5</v>
      </c>
      <c r="G344" s="94"/>
      <c r="H344" s="94">
        <f>F344*G344</f>
        <v>0</v>
      </c>
      <c r="I344" s="74" t="s">
        <v>37</v>
      </c>
      <c r="J344" s="306"/>
      <c r="K344" s="277"/>
      <c r="L344" s="277"/>
      <c r="M344" s="277"/>
      <c r="N344" s="277"/>
      <c r="O344" s="277"/>
      <c r="P344" s="277"/>
      <c r="Q344" s="277"/>
      <c r="R344" s="307"/>
      <c r="S344" s="277"/>
      <c r="T344" s="277"/>
      <c r="U344" s="277"/>
      <c r="V344" s="277"/>
      <c r="W344" s="277"/>
      <c r="X344" s="277"/>
      <c r="Y344" s="277"/>
      <c r="Z344" s="277"/>
      <c r="AA344" s="277"/>
      <c r="AB344" s="277"/>
      <c r="AC344" s="277"/>
      <c r="AD344" s="277"/>
      <c r="AE344" s="277"/>
      <c r="AF344" s="277"/>
      <c r="AG344" s="277"/>
      <c r="AH344" s="277"/>
      <c r="AI344" s="277"/>
      <c r="AJ344" s="277"/>
      <c r="AK344" s="277"/>
      <c r="AL344" s="277"/>
      <c r="AM344" s="277"/>
      <c r="AN344" s="277"/>
      <c r="AO344" s="277"/>
      <c r="AP344" s="277"/>
      <c r="AQ344" s="277"/>
      <c r="AR344" s="277"/>
      <c r="AS344" s="277"/>
      <c r="AT344" s="277"/>
      <c r="AU344" s="277"/>
      <c r="AV344" s="75"/>
      <c r="AW344" s="75"/>
      <c r="AX344" s="75"/>
      <c r="AY344" s="75"/>
      <c r="AZ344" s="75"/>
      <c r="BA344" s="75"/>
      <c r="BB344" s="75"/>
      <c r="BC344" s="75"/>
      <c r="BD344" s="75"/>
      <c r="BE344" s="75"/>
      <c r="BF344" s="75"/>
      <c r="BG344" s="75"/>
      <c r="BH344" s="75"/>
      <c r="BI344" s="75"/>
      <c r="BJ344" s="75"/>
      <c r="BK344" s="75"/>
      <c r="BL344" s="75"/>
      <c r="BM344" s="75"/>
      <c r="BN344" s="75"/>
      <c r="BO344" s="75"/>
      <c r="BP344" s="75"/>
      <c r="BQ344" s="75"/>
      <c r="BR344" s="75"/>
      <c r="BS344" s="75"/>
      <c r="BT344" s="75"/>
      <c r="BU344" s="75"/>
      <c r="BV344" s="75"/>
    </row>
    <row r="345" spans="1:74" s="8" customFormat="1" ht="13.5" customHeight="1">
      <c r="A345" s="163"/>
      <c r="B345" s="164"/>
      <c r="C345" s="164"/>
      <c r="D345" s="124" t="s">
        <v>311</v>
      </c>
      <c r="E345" s="164"/>
      <c r="F345" s="165">
        <v>0.5</v>
      </c>
      <c r="G345" s="166"/>
      <c r="H345" s="94"/>
      <c r="I345" s="152"/>
      <c r="J345" s="306"/>
      <c r="K345" s="277"/>
      <c r="L345" s="277"/>
      <c r="M345" s="277"/>
      <c r="N345" s="277"/>
      <c r="O345" s="277"/>
      <c r="P345" s="277"/>
      <c r="Q345" s="277"/>
      <c r="R345" s="307"/>
      <c r="S345" s="277"/>
      <c r="T345" s="277"/>
      <c r="U345" s="277"/>
      <c r="V345" s="277"/>
      <c r="W345" s="277"/>
      <c r="X345" s="277"/>
      <c r="Y345" s="277"/>
      <c r="Z345" s="277"/>
      <c r="AA345" s="277"/>
      <c r="AB345" s="277"/>
      <c r="AC345" s="277"/>
      <c r="AD345" s="277"/>
      <c r="AE345" s="277"/>
      <c r="AF345" s="277"/>
      <c r="AG345" s="277"/>
      <c r="AH345" s="277"/>
      <c r="AI345" s="277"/>
      <c r="AJ345" s="277"/>
      <c r="AK345" s="277"/>
      <c r="AL345" s="277"/>
      <c r="AM345" s="277"/>
      <c r="AN345" s="277"/>
      <c r="AO345" s="277"/>
      <c r="AP345" s="277"/>
      <c r="AQ345" s="277"/>
      <c r="AR345" s="277"/>
      <c r="AS345" s="277"/>
      <c r="AT345" s="277"/>
      <c r="AU345" s="277"/>
      <c r="AV345" s="75"/>
      <c r="AW345" s="75"/>
      <c r="AX345" s="75"/>
      <c r="AY345" s="75"/>
      <c r="AZ345" s="75"/>
      <c r="BA345" s="75"/>
      <c r="BB345" s="75"/>
      <c r="BC345" s="75"/>
      <c r="BD345" s="75"/>
      <c r="BE345" s="75"/>
      <c r="BF345" s="75"/>
      <c r="BG345" s="75"/>
      <c r="BH345" s="75"/>
      <c r="BI345" s="75"/>
      <c r="BJ345" s="75"/>
      <c r="BK345" s="75"/>
      <c r="BL345" s="75"/>
      <c r="BM345" s="75"/>
      <c r="BN345" s="75"/>
      <c r="BO345" s="75"/>
      <c r="BP345" s="75"/>
      <c r="BQ345" s="75"/>
      <c r="BR345" s="75"/>
      <c r="BS345" s="75"/>
      <c r="BT345" s="75"/>
      <c r="BU345" s="75"/>
      <c r="BV345" s="75"/>
    </row>
    <row r="346" spans="1:74" s="8" customFormat="1" ht="13.5" customHeight="1">
      <c r="A346" s="163"/>
      <c r="B346" s="164"/>
      <c r="C346" s="164"/>
      <c r="D346" s="124" t="s">
        <v>88</v>
      </c>
      <c r="E346" s="164"/>
      <c r="F346" s="165"/>
      <c r="G346" s="166"/>
      <c r="H346" s="94"/>
      <c r="I346" s="152"/>
      <c r="J346" s="306"/>
      <c r="K346" s="277"/>
      <c r="L346" s="277"/>
      <c r="M346" s="277"/>
      <c r="N346" s="277"/>
      <c r="O346" s="277"/>
      <c r="P346" s="277"/>
      <c r="Q346" s="277"/>
      <c r="R346" s="307"/>
      <c r="S346" s="277"/>
      <c r="T346" s="277"/>
      <c r="U346" s="277"/>
      <c r="V346" s="277"/>
      <c r="W346" s="277"/>
      <c r="X346" s="277"/>
      <c r="Y346" s="277"/>
      <c r="Z346" s="277"/>
      <c r="AA346" s="277"/>
      <c r="AB346" s="277"/>
      <c r="AC346" s="277"/>
      <c r="AD346" s="277"/>
      <c r="AE346" s="277"/>
      <c r="AF346" s="277"/>
      <c r="AG346" s="277"/>
      <c r="AH346" s="277"/>
      <c r="AI346" s="277"/>
      <c r="AJ346" s="277"/>
      <c r="AK346" s="277"/>
      <c r="AL346" s="277"/>
      <c r="AM346" s="277"/>
      <c r="AN346" s="277"/>
      <c r="AO346" s="277"/>
      <c r="AP346" s="277"/>
      <c r="AQ346" s="277"/>
      <c r="AR346" s="277"/>
      <c r="AS346" s="277"/>
      <c r="AT346" s="277"/>
      <c r="AU346" s="277"/>
      <c r="AV346" s="75"/>
      <c r="AW346" s="75"/>
      <c r="AX346" s="75"/>
      <c r="AY346" s="75"/>
      <c r="AZ346" s="75"/>
      <c r="BA346" s="75"/>
      <c r="BB346" s="75"/>
      <c r="BC346" s="75"/>
      <c r="BD346" s="75"/>
      <c r="BE346" s="75"/>
      <c r="BF346" s="75"/>
      <c r="BG346" s="75"/>
      <c r="BH346" s="75"/>
      <c r="BI346" s="75"/>
      <c r="BJ346" s="75"/>
      <c r="BK346" s="75"/>
      <c r="BL346" s="75"/>
      <c r="BM346" s="75"/>
      <c r="BN346" s="75"/>
      <c r="BO346" s="75"/>
      <c r="BP346" s="75"/>
      <c r="BQ346" s="75"/>
      <c r="BR346" s="75"/>
      <c r="BS346" s="75"/>
      <c r="BT346" s="75"/>
      <c r="BU346" s="75"/>
      <c r="BV346" s="75"/>
    </row>
    <row r="347" spans="1:74" s="3" customFormat="1" ht="13.5" customHeight="1">
      <c r="A347" s="76"/>
      <c r="B347" s="77"/>
      <c r="C347" s="77">
        <v>790</v>
      </c>
      <c r="D347" s="77" t="s">
        <v>16</v>
      </c>
      <c r="E347" s="77"/>
      <c r="F347" s="162"/>
      <c r="G347" s="80"/>
      <c r="H347" s="80">
        <f>SUM(H348:H353)</f>
        <v>0</v>
      </c>
      <c r="I347" s="11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F347" s="38"/>
      <c r="AG347" s="38"/>
      <c r="AH347" s="38"/>
      <c r="AI347" s="38"/>
      <c r="AJ347" s="38"/>
      <c r="AK347" s="38"/>
      <c r="AL347" s="38"/>
      <c r="AM347" s="38"/>
      <c r="AN347" s="38"/>
      <c r="AO347" s="38"/>
      <c r="AP347" s="38"/>
      <c r="AQ347" s="38"/>
      <c r="AR347" s="38"/>
      <c r="AS347" s="38"/>
      <c r="AT347" s="38"/>
      <c r="AU347" s="38"/>
      <c r="AV347" s="38"/>
      <c r="AW347" s="38"/>
      <c r="AX347" s="38"/>
      <c r="AY347" s="38"/>
      <c r="AZ347" s="38"/>
      <c r="BA347" s="38"/>
      <c r="BB347" s="38"/>
      <c r="BC347" s="38"/>
      <c r="BD347" s="38"/>
      <c r="BE347" s="38"/>
      <c r="BF347" s="38"/>
      <c r="BG347" s="38"/>
      <c r="BH347" s="38"/>
      <c r="BI347" s="38"/>
      <c r="BJ347" s="38"/>
      <c r="BK347" s="38"/>
      <c r="BL347" s="38"/>
      <c r="BM347" s="38"/>
      <c r="BN347" s="38"/>
      <c r="BO347" s="38"/>
      <c r="BP347" s="38"/>
      <c r="BQ347" s="38"/>
      <c r="BR347" s="38"/>
      <c r="BS347" s="38"/>
      <c r="BT347" s="38"/>
      <c r="BU347" s="38"/>
      <c r="BV347" s="38"/>
    </row>
    <row r="348" spans="1:74" s="8" customFormat="1" ht="13.5" customHeight="1">
      <c r="A348" s="69">
        <v>65</v>
      </c>
      <c r="B348" s="71">
        <v>790</v>
      </c>
      <c r="C348" s="71" t="s">
        <v>93</v>
      </c>
      <c r="D348" s="71" t="s">
        <v>94</v>
      </c>
      <c r="E348" s="71" t="s">
        <v>76</v>
      </c>
      <c r="F348" s="105">
        <f>F349</f>
        <v>1</v>
      </c>
      <c r="G348" s="73"/>
      <c r="H348" s="73">
        <f>F348*G348</f>
        <v>0</v>
      </c>
      <c r="I348" s="186" t="s">
        <v>90</v>
      </c>
      <c r="J348" s="277"/>
      <c r="K348" s="277"/>
      <c r="L348" s="277"/>
      <c r="M348" s="277"/>
      <c r="N348" s="277"/>
      <c r="O348" s="277"/>
      <c r="P348" s="277"/>
      <c r="Q348" s="277"/>
      <c r="R348" s="277"/>
      <c r="S348" s="277"/>
      <c r="T348" s="277"/>
      <c r="U348" s="277"/>
      <c r="V348" s="277"/>
      <c r="W348" s="277"/>
      <c r="X348" s="277"/>
      <c r="Y348" s="277"/>
      <c r="Z348" s="277"/>
      <c r="AA348" s="277"/>
      <c r="AB348" s="277"/>
      <c r="AC348" s="277"/>
      <c r="AD348" s="277"/>
      <c r="AE348" s="277"/>
      <c r="AF348" s="277"/>
      <c r="AG348" s="277"/>
      <c r="AH348" s="277"/>
      <c r="AI348" s="277"/>
      <c r="AJ348" s="277"/>
      <c r="AK348" s="277"/>
      <c r="AL348" s="277"/>
      <c r="AM348" s="277"/>
      <c r="AN348" s="277"/>
      <c r="AO348" s="277"/>
      <c r="AP348" s="277"/>
      <c r="AQ348" s="277"/>
      <c r="AR348" s="277"/>
      <c r="AS348" s="277"/>
      <c r="AT348" s="277"/>
      <c r="AU348" s="277"/>
      <c r="AV348" s="75"/>
      <c r="AW348" s="75"/>
      <c r="AX348" s="75"/>
      <c r="AY348" s="75"/>
      <c r="AZ348" s="75"/>
      <c r="BA348" s="75"/>
      <c r="BB348" s="75"/>
      <c r="BC348" s="75"/>
      <c r="BD348" s="75"/>
      <c r="BE348" s="75"/>
      <c r="BF348" s="75"/>
      <c r="BG348" s="75"/>
      <c r="BH348" s="75"/>
      <c r="BI348" s="75"/>
      <c r="BJ348" s="75"/>
      <c r="BK348" s="75"/>
      <c r="BL348" s="75"/>
      <c r="BM348" s="75"/>
      <c r="BN348" s="75"/>
      <c r="BO348" s="75"/>
      <c r="BP348" s="75"/>
      <c r="BQ348" s="75"/>
      <c r="BR348" s="75"/>
      <c r="BS348" s="75"/>
      <c r="BT348" s="75"/>
      <c r="BU348" s="75"/>
      <c r="BV348" s="75"/>
    </row>
    <row r="349" spans="1:74" s="8" customFormat="1" ht="54" customHeight="1">
      <c r="A349" s="69"/>
      <c r="B349" s="71"/>
      <c r="C349" s="71"/>
      <c r="D349" s="78" t="s">
        <v>312</v>
      </c>
      <c r="E349" s="71"/>
      <c r="F349" s="79">
        <v>1</v>
      </c>
      <c r="G349" s="73"/>
      <c r="H349" s="73"/>
      <c r="I349" s="106"/>
      <c r="J349" s="277"/>
      <c r="K349" s="277"/>
      <c r="L349" s="277"/>
      <c r="M349" s="277"/>
      <c r="N349" s="277"/>
      <c r="O349" s="277"/>
      <c r="P349" s="277"/>
      <c r="Q349" s="277"/>
      <c r="R349" s="277"/>
      <c r="S349" s="277"/>
      <c r="T349" s="277"/>
      <c r="U349" s="277"/>
      <c r="V349" s="277"/>
      <c r="W349" s="277"/>
      <c r="X349" s="277"/>
      <c r="Y349" s="277"/>
      <c r="Z349" s="277"/>
      <c r="AA349" s="277"/>
      <c r="AB349" s="277"/>
      <c r="AC349" s="277"/>
      <c r="AD349" s="277"/>
      <c r="AE349" s="277"/>
      <c r="AF349" s="277"/>
      <c r="AG349" s="277"/>
      <c r="AH349" s="277"/>
      <c r="AI349" s="277"/>
      <c r="AJ349" s="277"/>
      <c r="AK349" s="277"/>
      <c r="AL349" s="277"/>
      <c r="AM349" s="277"/>
      <c r="AN349" s="277"/>
      <c r="AO349" s="277"/>
      <c r="AP349" s="277"/>
      <c r="AQ349" s="277"/>
      <c r="AR349" s="277"/>
      <c r="AS349" s="277"/>
      <c r="AT349" s="277"/>
      <c r="AU349" s="277"/>
      <c r="AV349" s="75"/>
      <c r="AW349" s="75"/>
      <c r="AX349" s="75"/>
      <c r="AY349" s="75"/>
      <c r="AZ349" s="75"/>
      <c r="BA349" s="75"/>
      <c r="BB349" s="75"/>
      <c r="BC349" s="75"/>
      <c r="BD349" s="75"/>
      <c r="BE349" s="75"/>
      <c r="BF349" s="75"/>
      <c r="BG349" s="75"/>
      <c r="BH349" s="75"/>
      <c r="BI349" s="75"/>
      <c r="BJ349" s="75"/>
      <c r="BK349" s="75"/>
      <c r="BL349" s="75"/>
      <c r="BM349" s="75"/>
      <c r="BN349" s="75"/>
      <c r="BO349" s="75"/>
      <c r="BP349" s="75"/>
      <c r="BQ349" s="75"/>
      <c r="BR349" s="75"/>
      <c r="BS349" s="75"/>
      <c r="BT349" s="75"/>
      <c r="BU349" s="75"/>
      <c r="BV349" s="75"/>
    </row>
    <row r="350" spans="1:74" s="8" customFormat="1" ht="13.5" customHeight="1">
      <c r="A350" s="169"/>
      <c r="B350" s="69"/>
      <c r="C350" s="77"/>
      <c r="D350" s="78" t="s">
        <v>91</v>
      </c>
      <c r="E350" s="71"/>
      <c r="F350" s="170"/>
      <c r="G350" s="171"/>
      <c r="H350" s="80"/>
      <c r="I350" s="172"/>
      <c r="J350" s="277"/>
      <c r="K350" s="277"/>
      <c r="L350" s="277"/>
      <c r="M350" s="277"/>
      <c r="N350" s="277"/>
      <c r="O350" s="277"/>
      <c r="P350" s="277"/>
      <c r="Q350" s="277"/>
      <c r="R350" s="277"/>
      <c r="S350" s="277"/>
      <c r="T350" s="277"/>
      <c r="U350" s="277"/>
      <c r="V350" s="277"/>
      <c r="W350" s="277"/>
      <c r="X350" s="277"/>
      <c r="Y350" s="277"/>
      <c r="Z350" s="277"/>
      <c r="AA350" s="277"/>
      <c r="AB350" s="277"/>
      <c r="AC350" s="277"/>
      <c r="AD350" s="277"/>
      <c r="AE350" s="277"/>
      <c r="AF350" s="277"/>
      <c r="AG350" s="277"/>
      <c r="AH350" s="277"/>
      <c r="AI350" s="277"/>
      <c r="AJ350" s="277"/>
      <c r="AK350" s="277"/>
      <c r="AL350" s="277"/>
      <c r="AM350" s="277"/>
      <c r="AN350" s="277"/>
      <c r="AO350" s="277"/>
      <c r="AP350" s="277"/>
      <c r="AQ350" s="277"/>
      <c r="AR350" s="277"/>
      <c r="AS350" s="277"/>
      <c r="AT350" s="277"/>
      <c r="AU350" s="277"/>
      <c r="AV350" s="75"/>
      <c r="AW350" s="75"/>
      <c r="AX350" s="75"/>
      <c r="AY350" s="75"/>
      <c r="AZ350" s="75"/>
      <c r="BA350" s="75"/>
      <c r="BB350" s="75"/>
      <c r="BC350" s="75"/>
      <c r="BD350" s="75"/>
      <c r="BE350" s="75"/>
      <c r="BF350" s="75"/>
      <c r="BG350" s="75"/>
      <c r="BH350" s="75"/>
      <c r="BI350" s="75"/>
      <c r="BJ350" s="75"/>
      <c r="BK350" s="75"/>
      <c r="BL350" s="75"/>
      <c r="BM350" s="75"/>
      <c r="BN350" s="75"/>
      <c r="BO350" s="75"/>
      <c r="BP350" s="75"/>
      <c r="BQ350" s="75"/>
      <c r="BR350" s="75"/>
      <c r="BS350" s="75"/>
      <c r="BT350" s="75"/>
      <c r="BU350" s="75"/>
      <c r="BV350" s="75"/>
    </row>
    <row r="351" spans="1:74" s="8" customFormat="1" ht="13.5" customHeight="1">
      <c r="A351" s="88">
        <v>66</v>
      </c>
      <c r="B351" s="91" t="s">
        <v>77</v>
      </c>
      <c r="C351" s="91" t="s">
        <v>85</v>
      </c>
      <c r="D351" s="91" t="s">
        <v>86</v>
      </c>
      <c r="E351" s="91" t="s">
        <v>80</v>
      </c>
      <c r="F351" s="92">
        <f>F352</f>
        <v>5</v>
      </c>
      <c r="G351" s="94"/>
      <c r="H351" s="94">
        <f>F351*G351</f>
        <v>0</v>
      </c>
      <c r="I351" s="74" t="s">
        <v>37</v>
      </c>
      <c r="J351" s="306"/>
      <c r="K351" s="277"/>
      <c r="L351" s="277"/>
      <c r="M351" s="277"/>
      <c r="N351" s="277"/>
      <c r="O351" s="277"/>
      <c r="P351" s="277"/>
      <c r="Q351" s="277"/>
      <c r="R351" s="307"/>
      <c r="S351" s="277"/>
      <c r="T351" s="277"/>
      <c r="U351" s="277"/>
      <c r="V351" s="277"/>
      <c r="W351" s="277"/>
      <c r="X351" s="277"/>
      <c r="Y351" s="277"/>
      <c r="Z351" s="277"/>
      <c r="AA351" s="277"/>
      <c r="AB351" s="277"/>
      <c r="AC351" s="277"/>
      <c r="AD351" s="277"/>
      <c r="AE351" s="277"/>
      <c r="AF351" s="277"/>
      <c r="AG351" s="277"/>
      <c r="AH351" s="277"/>
      <c r="AI351" s="277"/>
      <c r="AJ351" s="277"/>
      <c r="AK351" s="277"/>
      <c r="AL351" s="277"/>
      <c r="AM351" s="277"/>
      <c r="AN351" s="277"/>
      <c r="AO351" s="277"/>
      <c r="AP351" s="277"/>
      <c r="AQ351" s="277"/>
      <c r="AR351" s="277"/>
      <c r="AS351" s="277"/>
      <c r="AT351" s="277"/>
      <c r="AU351" s="277"/>
      <c r="AV351" s="75"/>
      <c r="AW351" s="75"/>
      <c r="AX351" s="75"/>
      <c r="AY351" s="75"/>
      <c r="AZ351" s="75"/>
      <c r="BA351" s="75"/>
      <c r="BB351" s="75"/>
      <c r="BC351" s="75"/>
      <c r="BD351" s="75"/>
      <c r="BE351" s="75"/>
      <c r="BF351" s="75"/>
      <c r="BG351" s="75"/>
      <c r="BH351" s="75"/>
      <c r="BI351" s="75"/>
      <c r="BJ351" s="75"/>
      <c r="BK351" s="75"/>
      <c r="BL351" s="75"/>
      <c r="BM351" s="75"/>
      <c r="BN351" s="75"/>
      <c r="BO351" s="75"/>
      <c r="BP351" s="75"/>
      <c r="BQ351" s="75"/>
      <c r="BR351" s="75"/>
      <c r="BS351" s="75"/>
      <c r="BT351" s="75"/>
      <c r="BU351" s="75"/>
      <c r="BV351" s="75"/>
    </row>
    <row r="352" spans="1:74" s="8" customFormat="1" ht="13.5" customHeight="1">
      <c r="A352" s="163"/>
      <c r="B352" s="164"/>
      <c r="C352" s="164"/>
      <c r="D352" s="124" t="s">
        <v>95</v>
      </c>
      <c r="E352" s="164"/>
      <c r="F352" s="165">
        <v>5</v>
      </c>
      <c r="G352" s="166"/>
      <c r="H352" s="94"/>
      <c r="I352" s="152"/>
      <c r="J352" s="306"/>
      <c r="K352" s="277"/>
      <c r="L352" s="277"/>
      <c r="M352" s="277"/>
      <c r="N352" s="277"/>
      <c r="O352" s="277"/>
      <c r="P352" s="277"/>
      <c r="Q352" s="277"/>
      <c r="R352" s="307"/>
      <c r="S352" s="277"/>
      <c r="T352" s="277"/>
      <c r="U352" s="277"/>
      <c r="V352" s="277"/>
      <c r="W352" s="277"/>
      <c r="X352" s="277"/>
      <c r="Y352" s="277"/>
      <c r="Z352" s="277"/>
      <c r="AA352" s="277"/>
      <c r="AB352" s="277"/>
      <c r="AC352" s="277"/>
      <c r="AD352" s="277"/>
      <c r="AE352" s="277"/>
      <c r="AF352" s="277"/>
      <c r="AG352" s="277"/>
      <c r="AH352" s="277"/>
      <c r="AI352" s="277"/>
      <c r="AJ352" s="277"/>
      <c r="AK352" s="277"/>
      <c r="AL352" s="277"/>
      <c r="AM352" s="277"/>
      <c r="AN352" s="277"/>
      <c r="AO352" s="277"/>
      <c r="AP352" s="277"/>
      <c r="AQ352" s="277"/>
      <c r="AR352" s="277"/>
      <c r="AS352" s="277"/>
      <c r="AT352" s="277"/>
      <c r="AU352" s="277"/>
      <c r="AV352" s="75"/>
      <c r="AW352" s="75"/>
      <c r="AX352" s="75"/>
      <c r="AY352" s="75"/>
      <c r="AZ352" s="75"/>
      <c r="BA352" s="75"/>
      <c r="BB352" s="75"/>
      <c r="BC352" s="75"/>
      <c r="BD352" s="75"/>
      <c r="BE352" s="75"/>
      <c r="BF352" s="75"/>
      <c r="BG352" s="75"/>
      <c r="BH352" s="75"/>
      <c r="BI352" s="75"/>
      <c r="BJ352" s="75"/>
      <c r="BK352" s="75"/>
      <c r="BL352" s="75"/>
      <c r="BM352" s="75"/>
      <c r="BN352" s="75"/>
      <c r="BO352" s="75"/>
      <c r="BP352" s="75"/>
      <c r="BQ352" s="75"/>
      <c r="BR352" s="75"/>
      <c r="BS352" s="75"/>
      <c r="BT352" s="75"/>
      <c r="BU352" s="75"/>
      <c r="BV352" s="75"/>
    </row>
    <row r="353" spans="1:121" s="8" customFormat="1" ht="13.5" customHeight="1">
      <c r="A353" s="163"/>
      <c r="B353" s="164"/>
      <c r="C353" s="164"/>
      <c r="D353" s="124" t="s">
        <v>88</v>
      </c>
      <c r="E353" s="164"/>
      <c r="F353" s="165"/>
      <c r="G353" s="166"/>
      <c r="H353" s="94"/>
      <c r="I353" s="152"/>
      <c r="J353" s="306"/>
      <c r="K353" s="277"/>
      <c r="L353" s="277"/>
      <c r="M353" s="277"/>
      <c r="N353" s="277"/>
      <c r="O353" s="277"/>
      <c r="P353" s="277"/>
      <c r="Q353" s="277"/>
      <c r="R353" s="307"/>
      <c r="S353" s="277"/>
      <c r="T353" s="277"/>
      <c r="U353" s="277"/>
      <c r="V353" s="277"/>
      <c r="W353" s="277"/>
      <c r="X353" s="277"/>
      <c r="Y353" s="277"/>
      <c r="Z353" s="277"/>
      <c r="AA353" s="277"/>
      <c r="AB353" s="277"/>
      <c r="AC353" s="277"/>
      <c r="AD353" s="277"/>
      <c r="AE353" s="277"/>
      <c r="AF353" s="277"/>
      <c r="AG353" s="277"/>
      <c r="AH353" s="277"/>
      <c r="AI353" s="277"/>
      <c r="AJ353" s="277"/>
      <c r="AK353" s="277"/>
      <c r="AL353" s="277"/>
      <c r="AM353" s="277"/>
      <c r="AN353" s="277"/>
      <c r="AO353" s="277"/>
      <c r="AP353" s="277"/>
      <c r="AQ353" s="277"/>
      <c r="AR353" s="277"/>
      <c r="AS353" s="277"/>
      <c r="AT353" s="277"/>
      <c r="AU353" s="277"/>
      <c r="AV353" s="75"/>
      <c r="AW353" s="75"/>
      <c r="AX353" s="75"/>
      <c r="AY353" s="75"/>
      <c r="AZ353" s="75"/>
      <c r="BA353" s="75"/>
      <c r="BB353" s="75"/>
      <c r="BC353" s="75"/>
      <c r="BD353" s="75"/>
      <c r="BE353" s="75"/>
      <c r="BF353" s="75"/>
      <c r="BG353" s="75"/>
      <c r="BH353" s="75"/>
      <c r="BI353" s="75"/>
      <c r="BJ353" s="75"/>
      <c r="BK353" s="75"/>
      <c r="BL353" s="75"/>
      <c r="BM353" s="75"/>
      <c r="BN353" s="75"/>
      <c r="BO353" s="75"/>
      <c r="BP353" s="75"/>
      <c r="BQ353" s="75"/>
      <c r="BR353" s="75"/>
      <c r="BS353" s="75"/>
      <c r="BT353" s="75"/>
      <c r="BU353" s="75"/>
      <c r="BV353" s="75"/>
    </row>
    <row r="354" spans="1:121" s="41" customFormat="1" ht="21" customHeight="1">
      <c r="A354" s="316"/>
      <c r="B354" s="317"/>
      <c r="C354" s="317"/>
      <c r="D354" s="317" t="s">
        <v>96</v>
      </c>
      <c r="E354" s="317"/>
      <c r="F354" s="318"/>
      <c r="G354" s="188"/>
      <c r="H354" s="188">
        <f>H249+H9</f>
        <v>0</v>
      </c>
      <c r="J354" s="311"/>
      <c r="K354" s="40"/>
      <c r="L354" s="277"/>
      <c r="M354" s="277"/>
      <c r="N354" s="277"/>
      <c r="O354" s="277"/>
      <c r="P354" s="277"/>
      <c r="Q354" s="277"/>
      <c r="R354" s="277"/>
      <c r="S354" s="277"/>
      <c r="T354" s="277"/>
      <c r="U354" s="277"/>
      <c r="V354" s="277"/>
      <c r="W354" s="277"/>
      <c r="X354" s="277"/>
      <c r="Y354" s="277"/>
      <c r="Z354" s="277"/>
      <c r="AA354" s="277"/>
      <c r="AB354" s="277"/>
      <c r="AC354" s="277"/>
      <c r="AD354" s="277"/>
      <c r="AE354" s="277"/>
      <c r="AF354" s="277"/>
      <c r="AG354" s="277"/>
      <c r="AH354" s="277"/>
      <c r="AI354" s="277"/>
      <c r="AJ354" s="277"/>
      <c r="AK354" s="277"/>
      <c r="AL354" s="277"/>
      <c r="AM354" s="277"/>
      <c r="AN354" s="277"/>
      <c r="AO354" s="277"/>
      <c r="AP354" s="277"/>
      <c r="AQ354" s="277"/>
      <c r="AR354" s="277"/>
      <c r="AS354" s="277"/>
      <c r="AT354" s="277"/>
      <c r="AU354" s="277"/>
    </row>
    <row r="355" spans="1:121" s="194" customFormat="1" ht="12" customHeight="1">
      <c r="A355" s="189"/>
      <c r="B355" s="190"/>
      <c r="C355" s="190"/>
      <c r="D355" s="190"/>
      <c r="E355" s="190"/>
      <c r="F355" s="191"/>
      <c r="G355" s="192"/>
      <c r="H355" s="193"/>
      <c r="J355" s="311"/>
      <c r="K355" s="40"/>
      <c r="L355" s="277"/>
      <c r="M355" s="277"/>
      <c r="N355" s="277"/>
      <c r="O355" s="277"/>
      <c r="P355" s="277"/>
      <c r="Q355" s="277"/>
      <c r="R355" s="277"/>
      <c r="S355" s="277"/>
      <c r="T355" s="277"/>
      <c r="U355" s="277"/>
      <c r="V355" s="277"/>
      <c r="W355" s="277"/>
      <c r="X355" s="277"/>
      <c r="Y355" s="277"/>
      <c r="Z355" s="277"/>
      <c r="AA355" s="277"/>
      <c r="AB355" s="277"/>
      <c r="AC355" s="277"/>
      <c r="AD355" s="277"/>
      <c r="AE355" s="277"/>
      <c r="AF355" s="277"/>
      <c r="AG355" s="277"/>
      <c r="AH355" s="277"/>
      <c r="AI355" s="277"/>
      <c r="AJ355" s="277"/>
      <c r="AK355" s="277"/>
      <c r="AL355" s="277"/>
      <c r="AM355" s="277"/>
      <c r="AN355" s="277"/>
      <c r="AO355" s="277"/>
      <c r="AP355" s="277"/>
      <c r="AQ355" s="277"/>
      <c r="AR355" s="277"/>
      <c r="AS355" s="277"/>
      <c r="AT355" s="277"/>
      <c r="AU355" s="277"/>
      <c r="AV355" s="195"/>
      <c r="AW355" s="195"/>
      <c r="AX355" s="195"/>
      <c r="AY355" s="195"/>
      <c r="AZ355" s="195"/>
      <c r="BA355" s="195"/>
      <c r="BB355" s="195"/>
      <c r="BC355" s="195"/>
      <c r="BD355" s="195"/>
      <c r="BE355" s="195"/>
      <c r="BF355" s="195"/>
      <c r="BG355" s="195"/>
      <c r="BH355" s="195"/>
      <c r="BI355" s="195"/>
      <c r="BJ355" s="195"/>
      <c r="BK355" s="195"/>
      <c r="BL355" s="195"/>
      <c r="BM355" s="195"/>
      <c r="BN355" s="195"/>
      <c r="BO355" s="195"/>
      <c r="BP355" s="195"/>
      <c r="BQ355" s="195"/>
      <c r="BR355" s="195"/>
      <c r="BS355" s="195"/>
      <c r="BT355" s="195"/>
      <c r="BU355" s="195"/>
      <c r="BV355" s="195"/>
    </row>
    <row r="356" spans="1:121" s="48" customFormat="1" ht="13.5" customHeight="1">
      <c r="A356" s="366" t="s">
        <v>97</v>
      </c>
      <c r="B356" s="367"/>
      <c r="C356" s="368"/>
      <c r="D356" s="196" t="s">
        <v>98</v>
      </c>
      <c r="E356" s="197"/>
      <c r="F356" s="198"/>
      <c r="G356" s="199"/>
      <c r="H356" s="200">
        <f>H354</f>
        <v>0</v>
      </c>
      <c r="I356" s="201"/>
      <c r="J356" s="312"/>
      <c r="K356" s="313"/>
      <c r="L356" s="313"/>
      <c r="M356" s="313"/>
      <c r="N356" s="277"/>
      <c r="O356" s="277"/>
      <c r="P356" s="277"/>
      <c r="Q356" s="277"/>
      <c r="R356" s="277"/>
      <c r="S356" s="277"/>
      <c r="T356" s="277"/>
      <c r="U356" s="277"/>
      <c r="V356" s="277"/>
      <c r="W356" s="277"/>
      <c r="X356" s="277"/>
      <c r="Y356" s="277"/>
      <c r="Z356" s="277"/>
      <c r="AA356" s="277"/>
      <c r="AB356" s="277"/>
      <c r="AC356" s="277"/>
      <c r="AD356" s="277"/>
      <c r="AE356" s="277"/>
      <c r="AF356" s="277"/>
      <c r="AG356" s="277"/>
      <c r="AH356" s="277"/>
      <c r="AI356" s="277"/>
      <c r="AJ356" s="277"/>
      <c r="AK356" s="277"/>
      <c r="AL356" s="277"/>
      <c r="AM356" s="277"/>
      <c r="AN356" s="277"/>
      <c r="AO356" s="277"/>
      <c r="AP356" s="277"/>
      <c r="AQ356" s="277"/>
      <c r="AR356" s="277"/>
      <c r="AS356" s="277"/>
      <c r="AT356" s="277"/>
      <c r="AU356" s="277"/>
      <c r="AV356" s="41"/>
      <c r="AW356" s="41"/>
      <c r="AX356" s="41"/>
      <c r="AY356" s="41"/>
      <c r="AZ356" s="41"/>
      <c r="BA356" s="41"/>
      <c r="BB356" s="41"/>
      <c r="BC356" s="41"/>
      <c r="BD356" s="41"/>
      <c r="BE356" s="41"/>
      <c r="BF356" s="41"/>
      <c r="BG356" s="41"/>
      <c r="BH356" s="41"/>
      <c r="BI356" s="41"/>
      <c r="BJ356" s="41"/>
      <c r="BK356" s="41"/>
      <c r="BL356" s="41"/>
      <c r="BM356" s="41"/>
      <c r="BN356" s="41"/>
      <c r="BO356" s="41"/>
      <c r="BP356" s="41"/>
      <c r="BQ356" s="41"/>
      <c r="BR356" s="41"/>
      <c r="BS356" s="41"/>
      <c r="BT356" s="41"/>
      <c r="BU356" s="41"/>
      <c r="BV356" s="41"/>
    </row>
    <row r="357" spans="1:121" s="48" customFormat="1" ht="13.5" customHeight="1">
      <c r="A357" s="204"/>
      <c r="B357" s="205"/>
      <c r="C357" s="205"/>
      <c r="D357" s="206"/>
      <c r="E357" s="207"/>
      <c r="F357" s="208"/>
      <c r="G357" s="209"/>
      <c r="H357" s="210"/>
      <c r="I357" s="41"/>
      <c r="J357" s="312"/>
      <c r="K357" s="313"/>
      <c r="L357" s="313"/>
      <c r="M357" s="313"/>
      <c r="N357" s="277"/>
      <c r="O357" s="277"/>
      <c r="P357" s="277"/>
      <c r="Q357" s="277"/>
      <c r="R357" s="277"/>
      <c r="S357" s="277"/>
      <c r="T357" s="277"/>
      <c r="U357" s="277"/>
      <c r="V357" s="277"/>
      <c r="W357" s="277"/>
      <c r="X357" s="277"/>
      <c r="Y357" s="277"/>
      <c r="Z357" s="277"/>
      <c r="AA357" s="277"/>
      <c r="AB357" s="277"/>
      <c r="AC357" s="277"/>
      <c r="AD357" s="277"/>
      <c r="AE357" s="277"/>
      <c r="AF357" s="277"/>
      <c r="AG357" s="277"/>
      <c r="AH357" s="277"/>
      <c r="AI357" s="277"/>
      <c r="AJ357" s="277"/>
      <c r="AK357" s="277"/>
      <c r="AL357" s="277"/>
      <c r="AM357" s="277"/>
      <c r="AN357" s="277"/>
      <c r="AO357" s="277"/>
      <c r="AP357" s="277"/>
      <c r="AQ357" s="277"/>
      <c r="AR357" s="277"/>
      <c r="AS357" s="277"/>
      <c r="AT357" s="277"/>
      <c r="AU357" s="277"/>
      <c r="AV357" s="41"/>
      <c r="AW357" s="41"/>
      <c r="AX357" s="41"/>
      <c r="AY357" s="41"/>
      <c r="AZ357" s="41"/>
      <c r="BA357" s="41"/>
      <c r="BB357" s="41"/>
      <c r="BC357" s="41"/>
      <c r="BD357" s="41"/>
      <c r="BE357" s="41"/>
      <c r="BF357" s="41"/>
      <c r="BG357" s="41"/>
      <c r="BH357" s="41"/>
      <c r="BI357" s="41"/>
      <c r="BJ357" s="41"/>
      <c r="BK357" s="41"/>
      <c r="BL357" s="41"/>
      <c r="BM357" s="41"/>
      <c r="BN357" s="41"/>
      <c r="BO357" s="41"/>
      <c r="BP357" s="41"/>
      <c r="BQ357" s="41"/>
      <c r="BR357" s="41"/>
      <c r="BS357" s="41"/>
      <c r="BT357" s="41"/>
      <c r="BU357" s="41"/>
      <c r="BV357" s="41"/>
    </row>
    <row r="358" spans="1:121" s="211" customFormat="1" ht="23.25">
      <c r="A358" s="211" t="s">
        <v>99</v>
      </c>
      <c r="G358" s="212"/>
      <c r="I358" s="212"/>
      <c r="J358" s="312"/>
      <c r="K358" s="313"/>
      <c r="L358" s="313"/>
      <c r="M358" s="313"/>
      <c r="N358" s="277"/>
      <c r="O358" s="277"/>
      <c r="P358" s="277"/>
      <c r="Q358" s="277"/>
      <c r="R358" s="277"/>
      <c r="S358" s="277"/>
      <c r="T358" s="277"/>
      <c r="U358" s="277"/>
      <c r="V358" s="277"/>
      <c r="W358" s="277"/>
      <c r="X358" s="277"/>
      <c r="Y358" s="277"/>
      <c r="Z358" s="277"/>
      <c r="AA358" s="277"/>
      <c r="AB358" s="277"/>
      <c r="AC358" s="277"/>
      <c r="AD358" s="277"/>
      <c r="AE358" s="277"/>
      <c r="AF358" s="277"/>
      <c r="AG358" s="277"/>
      <c r="AH358" s="277"/>
      <c r="AI358" s="277"/>
      <c r="AJ358" s="277"/>
      <c r="AK358" s="277"/>
      <c r="AL358" s="277"/>
      <c r="AM358" s="277"/>
      <c r="AN358" s="277"/>
      <c r="AO358" s="277"/>
      <c r="AP358" s="277"/>
      <c r="AQ358" s="277"/>
      <c r="AR358" s="277"/>
      <c r="AS358" s="277"/>
      <c r="AT358" s="277"/>
      <c r="AU358" s="277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  <c r="BI358" s="212"/>
      <c r="BJ358" s="212"/>
      <c r="BK358" s="212"/>
      <c r="BL358" s="212"/>
      <c r="BM358" s="212"/>
      <c r="BN358" s="212"/>
      <c r="BO358" s="212"/>
      <c r="BP358" s="212"/>
      <c r="BQ358" s="212"/>
      <c r="BR358" s="212"/>
      <c r="BS358" s="212"/>
      <c r="BT358" s="212"/>
      <c r="BU358" s="212"/>
      <c r="BV358" s="212"/>
    </row>
    <row r="359" spans="1:121" s="48" customFormat="1" ht="31.5" customHeight="1">
      <c r="A359" s="364" t="s">
        <v>100</v>
      </c>
      <c r="B359" s="369"/>
      <c r="C359" s="369"/>
      <c r="D359" s="369"/>
      <c r="E359" s="369"/>
      <c r="F359" s="369"/>
      <c r="G359" s="369"/>
      <c r="H359" s="212"/>
      <c r="I359" s="41"/>
      <c r="J359" s="312"/>
      <c r="K359" s="313"/>
      <c r="L359" s="313"/>
      <c r="M359" s="313"/>
      <c r="N359" s="277"/>
      <c r="O359" s="277"/>
      <c r="P359" s="277"/>
      <c r="Q359" s="277"/>
      <c r="R359" s="277"/>
      <c r="S359" s="277"/>
      <c r="T359" s="277"/>
      <c r="U359" s="277"/>
      <c r="V359" s="277"/>
      <c r="W359" s="277"/>
      <c r="X359" s="277"/>
      <c r="Y359" s="277"/>
      <c r="Z359" s="277"/>
      <c r="AA359" s="277"/>
      <c r="AB359" s="277"/>
      <c r="AC359" s="277"/>
      <c r="AD359" s="277"/>
      <c r="AE359" s="277"/>
      <c r="AF359" s="277"/>
      <c r="AG359" s="277"/>
      <c r="AH359" s="277"/>
      <c r="AI359" s="277"/>
      <c r="AJ359" s="277"/>
      <c r="AK359" s="277"/>
      <c r="AL359" s="277"/>
      <c r="AM359" s="277"/>
      <c r="AN359" s="277"/>
      <c r="AO359" s="277"/>
      <c r="AP359" s="277"/>
      <c r="AQ359" s="277"/>
      <c r="AR359" s="277"/>
      <c r="AS359" s="277"/>
      <c r="AT359" s="277"/>
      <c r="AU359" s="277"/>
      <c r="AV359" s="41"/>
      <c r="AW359" s="41"/>
      <c r="AX359" s="41"/>
      <c r="AY359" s="41"/>
      <c r="AZ359" s="41"/>
      <c r="BA359" s="41"/>
      <c r="BB359" s="41"/>
      <c r="BC359" s="41"/>
      <c r="BD359" s="41"/>
      <c r="BE359" s="41"/>
      <c r="BF359" s="41"/>
      <c r="BG359" s="41"/>
      <c r="BH359" s="41"/>
      <c r="BI359" s="41"/>
      <c r="BJ359" s="41"/>
      <c r="BK359" s="41"/>
      <c r="BL359" s="41"/>
      <c r="BM359" s="41"/>
      <c r="BN359" s="41"/>
      <c r="BO359" s="41"/>
      <c r="BP359" s="41"/>
      <c r="BQ359" s="41"/>
      <c r="BR359" s="41"/>
      <c r="BS359" s="41"/>
      <c r="BT359" s="41"/>
      <c r="BU359" s="41"/>
      <c r="BV359" s="41"/>
    </row>
    <row r="360" spans="1:121" s="211" customFormat="1" ht="102.75" customHeight="1">
      <c r="A360" s="364" t="s">
        <v>101</v>
      </c>
      <c r="B360" s="370"/>
      <c r="C360" s="370"/>
      <c r="D360" s="370"/>
      <c r="E360" s="370"/>
      <c r="F360" s="370"/>
      <c r="G360" s="370"/>
      <c r="J360" s="312"/>
      <c r="K360" s="313"/>
      <c r="L360" s="313"/>
      <c r="M360" s="313"/>
      <c r="N360" s="277"/>
      <c r="O360" s="277"/>
      <c r="P360" s="277"/>
      <c r="Q360" s="277"/>
      <c r="R360" s="277"/>
      <c r="S360" s="277"/>
      <c r="T360" s="277"/>
      <c r="U360" s="277"/>
      <c r="V360" s="277"/>
      <c r="W360" s="277"/>
      <c r="X360" s="277"/>
      <c r="Y360" s="277"/>
      <c r="Z360" s="277"/>
      <c r="AA360" s="277"/>
      <c r="AB360" s="277"/>
      <c r="AC360" s="277"/>
      <c r="AD360" s="277"/>
      <c r="AE360" s="277"/>
      <c r="AF360" s="277"/>
      <c r="AG360" s="277"/>
      <c r="AH360" s="277"/>
      <c r="AI360" s="277"/>
      <c r="AJ360" s="277"/>
      <c r="AK360" s="277"/>
      <c r="AL360" s="277"/>
      <c r="AM360" s="277"/>
      <c r="AN360" s="277"/>
      <c r="AO360" s="277"/>
      <c r="AP360" s="277"/>
      <c r="AQ360" s="277"/>
      <c r="AR360" s="277"/>
      <c r="AS360" s="277"/>
      <c r="AT360" s="277"/>
      <c r="AU360" s="277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  <c r="BI360" s="212"/>
      <c r="BJ360" s="212"/>
      <c r="BK360" s="212"/>
      <c r="BL360" s="212"/>
      <c r="BM360" s="212"/>
      <c r="BN360" s="212"/>
      <c r="BO360" s="212"/>
      <c r="BP360" s="212"/>
      <c r="BQ360" s="212"/>
      <c r="BR360" s="212"/>
      <c r="BS360" s="212"/>
      <c r="BT360" s="212"/>
      <c r="BU360" s="212"/>
      <c r="BV360" s="212"/>
      <c r="BW360" s="212"/>
      <c r="BX360" s="212"/>
      <c r="BY360" s="212"/>
      <c r="BZ360" s="212"/>
      <c r="CA360" s="212"/>
      <c r="CB360" s="212"/>
      <c r="CC360" s="212"/>
      <c r="CD360" s="212"/>
      <c r="CE360" s="212"/>
      <c r="CF360" s="212"/>
      <c r="CG360" s="212"/>
      <c r="CH360" s="212"/>
      <c r="CI360" s="212"/>
      <c r="CJ360" s="212"/>
      <c r="CK360" s="212"/>
      <c r="CL360" s="212"/>
      <c r="CM360" s="212"/>
      <c r="CN360" s="212"/>
      <c r="CO360" s="212"/>
      <c r="CP360" s="212"/>
      <c r="CQ360" s="212"/>
      <c r="CR360" s="212"/>
      <c r="CS360" s="212"/>
      <c r="CT360" s="212"/>
      <c r="CU360" s="212"/>
      <c r="CV360" s="212"/>
      <c r="CW360" s="212"/>
      <c r="CX360" s="212"/>
      <c r="CY360" s="212"/>
      <c r="CZ360" s="212"/>
      <c r="DA360" s="212"/>
      <c r="DB360" s="212"/>
      <c r="DC360" s="212"/>
      <c r="DD360" s="212"/>
      <c r="DE360" s="212"/>
      <c r="DF360" s="212"/>
      <c r="DG360" s="212"/>
      <c r="DH360" s="212"/>
      <c r="DI360" s="212"/>
      <c r="DJ360" s="212"/>
      <c r="DK360" s="212"/>
      <c r="DL360" s="212"/>
      <c r="DM360" s="212"/>
      <c r="DN360" s="212"/>
      <c r="DO360" s="212"/>
      <c r="DP360" s="212"/>
      <c r="DQ360" s="212"/>
    </row>
    <row r="361" spans="1:121" s="215" customFormat="1" ht="13.5" customHeight="1">
      <c r="A361" s="364" t="s">
        <v>102</v>
      </c>
      <c r="B361" s="365"/>
      <c r="C361" s="365"/>
      <c r="D361" s="365"/>
      <c r="E361" s="365"/>
      <c r="F361" s="365"/>
      <c r="G361" s="365"/>
      <c r="H361" s="213"/>
      <c r="I361" s="214"/>
      <c r="J361" s="312"/>
      <c r="K361" s="313"/>
      <c r="L361" s="313"/>
      <c r="M361" s="313"/>
      <c r="N361" s="277"/>
      <c r="O361" s="277"/>
      <c r="P361" s="277"/>
      <c r="Q361" s="277"/>
      <c r="R361" s="277"/>
      <c r="S361" s="277"/>
      <c r="T361" s="277"/>
      <c r="U361" s="277"/>
      <c r="V361" s="277"/>
      <c r="W361" s="277"/>
      <c r="X361" s="277"/>
      <c r="Y361" s="277"/>
      <c r="Z361" s="277"/>
      <c r="AA361" s="277"/>
      <c r="AB361" s="277"/>
      <c r="AC361" s="277"/>
      <c r="AD361" s="277"/>
      <c r="AE361" s="277"/>
      <c r="AF361" s="277"/>
      <c r="AG361" s="277"/>
      <c r="AH361" s="277"/>
      <c r="AI361" s="277"/>
      <c r="AJ361" s="277"/>
      <c r="AK361" s="277"/>
      <c r="AL361" s="277"/>
      <c r="AM361" s="277"/>
      <c r="AN361" s="277"/>
      <c r="AO361" s="277"/>
      <c r="AP361" s="277"/>
      <c r="AQ361" s="277"/>
      <c r="AR361" s="277"/>
      <c r="AS361" s="277"/>
      <c r="AT361" s="277"/>
      <c r="AU361" s="277"/>
      <c r="AV361" s="95"/>
      <c r="AW361" s="95"/>
      <c r="AX361" s="95"/>
      <c r="AY361" s="95"/>
      <c r="AZ361" s="95"/>
      <c r="BA361" s="95"/>
      <c r="BB361" s="95"/>
      <c r="BC361" s="95"/>
      <c r="BD361" s="95"/>
      <c r="BE361" s="95"/>
      <c r="BF361" s="95"/>
      <c r="BG361" s="95"/>
      <c r="BH361" s="95"/>
      <c r="BI361" s="95"/>
      <c r="BJ361" s="95"/>
      <c r="BK361" s="95"/>
      <c r="BL361" s="95"/>
      <c r="BM361" s="95"/>
      <c r="BN361" s="95"/>
      <c r="BO361" s="95"/>
      <c r="BP361" s="95"/>
      <c r="BQ361" s="95"/>
      <c r="BR361" s="95"/>
      <c r="BS361" s="95"/>
      <c r="BT361" s="95"/>
      <c r="BU361" s="95"/>
      <c r="BV361" s="95"/>
      <c r="BW361" s="95"/>
      <c r="BX361" s="95"/>
      <c r="BY361" s="95"/>
      <c r="BZ361" s="95"/>
      <c r="CA361" s="95"/>
      <c r="CB361" s="95"/>
      <c r="CC361" s="95"/>
      <c r="CD361" s="95"/>
      <c r="CE361" s="95"/>
      <c r="CF361" s="95"/>
      <c r="CG361" s="95"/>
      <c r="CH361" s="95"/>
      <c r="CI361" s="95"/>
      <c r="CJ361" s="95"/>
      <c r="CK361" s="95"/>
      <c r="CL361" s="95"/>
      <c r="CM361" s="95"/>
      <c r="CN361" s="95"/>
      <c r="CO361" s="95"/>
      <c r="CP361" s="95"/>
      <c r="CQ361" s="95"/>
      <c r="CR361" s="95"/>
      <c r="CS361" s="95"/>
      <c r="CT361" s="95"/>
      <c r="CU361" s="95"/>
      <c r="CV361" s="95"/>
      <c r="CW361" s="95"/>
      <c r="CX361" s="95"/>
      <c r="CY361" s="95"/>
      <c r="CZ361" s="95"/>
      <c r="DA361" s="95"/>
      <c r="DB361" s="95"/>
      <c r="DC361" s="95"/>
      <c r="DD361" s="95"/>
      <c r="DE361" s="95"/>
      <c r="DF361" s="95"/>
      <c r="DG361" s="95"/>
      <c r="DH361" s="95"/>
      <c r="DI361" s="95"/>
      <c r="DJ361" s="95"/>
      <c r="DK361" s="95"/>
      <c r="DL361" s="95"/>
      <c r="DM361" s="95"/>
      <c r="DN361" s="95"/>
      <c r="DO361" s="95"/>
      <c r="DP361" s="95"/>
      <c r="DQ361" s="95"/>
    </row>
    <row r="362" spans="1:121" s="215" customFormat="1" ht="13.5" customHeight="1">
      <c r="A362" s="364" t="s">
        <v>103</v>
      </c>
      <c r="B362" s="365"/>
      <c r="C362" s="365"/>
      <c r="D362" s="365"/>
      <c r="E362" s="365"/>
      <c r="F362" s="365"/>
      <c r="G362" s="365"/>
      <c r="H362" s="213"/>
      <c r="I362" s="214"/>
      <c r="J362" s="312"/>
      <c r="K362" s="313"/>
      <c r="L362" s="313"/>
      <c r="M362" s="313"/>
      <c r="N362" s="277"/>
      <c r="O362" s="277"/>
      <c r="P362" s="277"/>
      <c r="Q362" s="277"/>
      <c r="R362" s="277"/>
      <c r="S362" s="277"/>
      <c r="T362" s="277"/>
      <c r="U362" s="277"/>
      <c r="V362" s="277"/>
      <c r="W362" s="277"/>
      <c r="X362" s="277"/>
      <c r="Y362" s="277"/>
      <c r="Z362" s="277"/>
      <c r="AA362" s="277"/>
      <c r="AB362" s="277"/>
      <c r="AC362" s="277"/>
      <c r="AD362" s="277"/>
      <c r="AE362" s="277"/>
      <c r="AF362" s="277"/>
      <c r="AG362" s="277"/>
      <c r="AH362" s="277"/>
      <c r="AI362" s="277"/>
      <c r="AJ362" s="277"/>
      <c r="AK362" s="277"/>
      <c r="AL362" s="277"/>
      <c r="AM362" s="277"/>
      <c r="AN362" s="277"/>
      <c r="AO362" s="277"/>
      <c r="AP362" s="277"/>
      <c r="AQ362" s="277"/>
      <c r="AR362" s="277"/>
      <c r="AS362" s="277"/>
      <c r="AT362" s="277"/>
      <c r="AU362" s="277"/>
      <c r="AV362" s="95"/>
      <c r="AW362" s="95"/>
      <c r="AX362" s="95"/>
      <c r="AY362" s="95"/>
      <c r="AZ362" s="95"/>
      <c r="BA362" s="95"/>
      <c r="BB362" s="95"/>
      <c r="BC362" s="95"/>
      <c r="BD362" s="95"/>
      <c r="BE362" s="95"/>
      <c r="BF362" s="95"/>
      <c r="BG362" s="95"/>
      <c r="BH362" s="95"/>
      <c r="BI362" s="95"/>
      <c r="BJ362" s="95"/>
      <c r="BK362" s="95"/>
      <c r="BL362" s="95"/>
      <c r="BM362" s="95"/>
      <c r="BN362" s="95"/>
      <c r="BO362" s="95"/>
      <c r="BP362" s="95"/>
      <c r="BQ362" s="95"/>
      <c r="BR362" s="95"/>
      <c r="BS362" s="95"/>
      <c r="BT362" s="95"/>
      <c r="BU362" s="95"/>
      <c r="BV362" s="95"/>
      <c r="BW362" s="95"/>
      <c r="BX362" s="95"/>
      <c r="BY362" s="95"/>
      <c r="BZ362" s="95"/>
      <c r="CA362" s="95"/>
      <c r="CB362" s="95"/>
      <c r="CC362" s="95"/>
      <c r="CD362" s="95"/>
      <c r="CE362" s="95"/>
      <c r="CF362" s="95"/>
      <c r="CG362" s="95"/>
      <c r="CH362" s="95"/>
      <c r="CI362" s="95"/>
      <c r="CJ362" s="95"/>
      <c r="CK362" s="95"/>
      <c r="CL362" s="95"/>
      <c r="CM362" s="95"/>
      <c r="CN362" s="95"/>
      <c r="CO362" s="95"/>
      <c r="CP362" s="95"/>
      <c r="CQ362" s="95"/>
      <c r="CR362" s="95"/>
      <c r="CS362" s="95"/>
      <c r="CT362" s="95"/>
      <c r="CU362" s="95"/>
      <c r="CV362" s="95"/>
      <c r="CW362" s="95"/>
      <c r="CX362" s="95"/>
      <c r="CY362" s="95"/>
      <c r="CZ362" s="95"/>
      <c r="DA362" s="95"/>
      <c r="DB362" s="95"/>
      <c r="DC362" s="95"/>
      <c r="DD362" s="95"/>
      <c r="DE362" s="95"/>
      <c r="DF362" s="95"/>
      <c r="DG362" s="95"/>
      <c r="DH362" s="95"/>
      <c r="DI362" s="95"/>
      <c r="DJ362" s="95"/>
      <c r="DK362" s="95"/>
      <c r="DL362" s="95"/>
      <c r="DM362" s="95"/>
      <c r="DN362" s="95"/>
      <c r="DO362" s="95"/>
      <c r="DP362" s="95"/>
      <c r="DQ362" s="95"/>
    </row>
    <row r="363" spans="1:121" s="222" customFormat="1" ht="13.5" customHeight="1">
      <c r="A363" s="217"/>
      <c r="B363" s="218"/>
      <c r="C363" s="218"/>
      <c r="D363" s="218"/>
      <c r="E363" s="218"/>
      <c r="F363" s="218"/>
      <c r="G363" s="218"/>
      <c r="H363" s="219"/>
      <c r="I363" s="220"/>
      <c r="J363" s="312"/>
      <c r="K363" s="313"/>
      <c r="L363" s="313"/>
      <c r="M363" s="313"/>
      <c r="N363" s="277"/>
      <c r="O363" s="277"/>
      <c r="P363" s="277"/>
      <c r="Q363" s="277"/>
      <c r="R363" s="277"/>
      <c r="S363" s="277"/>
      <c r="T363" s="277"/>
      <c r="U363" s="277"/>
      <c r="V363" s="277"/>
      <c r="W363" s="277"/>
      <c r="X363" s="277"/>
      <c r="Y363" s="277"/>
      <c r="Z363" s="277"/>
      <c r="AA363" s="277"/>
      <c r="AB363" s="277"/>
      <c r="AC363" s="277"/>
      <c r="AD363" s="277"/>
      <c r="AE363" s="277"/>
      <c r="AF363" s="277"/>
      <c r="AG363" s="277"/>
      <c r="AH363" s="277"/>
      <c r="AI363" s="277"/>
      <c r="AJ363" s="277"/>
      <c r="AK363" s="277"/>
      <c r="AL363" s="277"/>
      <c r="AM363" s="277"/>
      <c r="AN363" s="277"/>
      <c r="AO363" s="277"/>
      <c r="AP363" s="277"/>
      <c r="AQ363" s="277"/>
      <c r="AR363" s="277"/>
      <c r="AS363" s="277"/>
      <c r="AT363" s="277"/>
      <c r="AU363" s="277"/>
      <c r="AV363" s="221"/>
      <c r="AW363" s="221"/>
      <c r="AX363" s="221"/>
      <c r="AY363" s="221"/>
      <c r="AZ363" s="221"/>
      <c r="BA363" s="221"/>
      <c r="BB363" s="221"/>
      <c r="BC363" s="221"/>
      <c r="BD363" s="221"/>
      <c r="BE363" s="221"/>
      <c r="BF363" s="221"/>
      <c r="BG363" s="221"/>
      <c r="BH363" s="221"/>
      <c r="BI363" s="221"/>
      <c r="BJ363" s="221"/>
      <c r="BK363" s="221"/>
      <c r="BL363" s="221"/>
      <c r="BM363" s="221"/>
      <c r="BN363" s="221"/>
      <c r="BO363" s="221"/>
      <c r="BP363" s="221"/>
      <c r="BQ363" s="221"/>
      <c r="BR363" s="221"/>
      <c r="BS363" s="221"/>
      <c r="BT363" s="221"/>
      <c r="BU363" s="221"/>
      <c r="BV363" s="221"/>
      <c r="BW363" s="221"/>
      <c r="BX363" s="221"/>
      <c r="BY363" s="221"/>
      <c r="BZ363" s="221"/>
      <c r="CA363" s="221"/>
      <c r="CB363" s="221"/>
      <c r="CC363" s="221"/>
      <c r="CD363" s="221"/>
      <c r="CE363" s="221"/>
      <c r="CF363" s="221"/>
      <c r="CG363" s="221"/>
      <c r="CH363" s="221"/>
      <c r="CI363" s="221"/>
      <c r="CJ363" s="221"/>
      <c r="CK363" s="221"/>
      <c r="CL363" s="221"/>
      <c r="CM363" s="221"/>
      <c r="CN363" s="221"/>
      <c r="CO363" s="221"/>
      <c r="CP363" s="221"/>
      <c r="CQ363" s="221"/>
      <c r="CR363" s="221"/>
      <c r="CS363" s="221"/>
      <c r="CT363" s="221"/>
      <c r="CU363" s="221"/>
      <c r="CV363" s="221"/>
      <c r="CW363" s="221"/>
      <c r="CX363" s="221"/>
      <c r="CY363" s="221"/>
      <c r="CZ363" s="221"/>
      <c r="DA363" s="221"/>
      <c r="DB363" s="221"/>
      <c r="DC363" s="221"/>
      <c r="DD363" s="221"/>
      <c r="DE363" s="221"/>
      <c r="DF363" s="221"/>
      <c r="DG363" s="221"/>
      <c r="DH363" s="221"/>
      <c r="DI363" s="221"/>
      <c r="DJ363" s="221"/>
      <c r="DK363" s="221"/>
      <c r="DL363" s="221"/>
      <c r="DM363" s="221"/>
      <c r="DN363" s="221"/>
      <c r="DO363" s="221"/>
      <c r="DP363" s="221"/>
      <c r="DQ363" s="221"/>
    </row>
    <row r="364" spans="1:121" ht="12" customHeight="1">
      <c r="J364" s="312"/>
      <c r="K364" s="313"/>
      <c r="L364" s="313"/>
      <c r="M364" s="313"/>
      <c r="N364" s="277"/>
      <c r="O364" s="277"/>
      <c r="P364" s="277"/>
      <c r="Q364" s="277"/>
      <c r="R364" s="277"/>
      <c r="S364" s="277"/>
      <c r="T364" s="277"/>
      <c r="U364" s="277"/>
      <c r="V364" s="277"/>
      <c r="W364" s="277"/>
      <c r="X364" s="277"/>
      <c r="Y364" s="277"/>
      <c r="Z364" s="277"/>
      <c r="AA364" s="277"/>
      <c r="AB364" s="277"/>
      <c r="AC364" s="277"/>
      <c r="AD364" s="277"/>
      <c r="AE364" s="277"/>
      <c r="AF364" s="277"/>
      <c r="AG364" s="277"/>
      <c r="AH364" s="277"/>
      <c r="AI364" s="277"/>
      <c r="AJ364" s="277"/>
      <c r="AK364" s="277"/>
      <c r="AL364" s="277"/>
      <c r="AM364" s="277"/>
      <c r="AN364" s="277"/>
      <c r="AO364" s="277"/>
      <c r="AP364" s="277"/>
      <c r="AQ364" s="277"/>
      <c r="AR364" s="277"/>
      <c r="AS364" s="277"/>
      <c r="AT364" s="277"/>
      <c r="AU364" s="277"/>
      <c r="BW364" s="225"/>
      <c r="BX364" s="225"/>
      <c r="BY364" s="225"/>
      <c r="BZ364" s="225"/>
      <c r="CA364" s="225"/>
      <c r="CB364" s="225"/>
      <c r="CC364" s="225"/>
      <c r="CD364" s="225"/>
      <c r="CE364" s="225"/>
      <c r="CF364" s="225"/>
      <c r="CG364" s="225"/>
      <c r="CH364" s="225"/>
      <c r="CI364" s="225"/>
      <c r="CJ364" s="225"/>
      <c r="CK364" s="225"/>
      <c r="CL364" s="225"/>
      <c r="CM364" s="225"/>
      <c r="CN364" s="225"/>
      <c r="CO364" s="225"/>
      <c r="CP364" s="225"/>
      <c r="CQ364" s="225"/>
      <c r="CR364" s="225"/>
      <c r="CS364" s="225"/>
      <c r="CT364" s="225"/>
      <c r="CU364" s="225"/>
      <c r="CV364" s="225"/>
      <c r="CW364" s="225"/>
      <c r="CX364" s="225"/>
      <c r="CY364" s="225"/>
      <c r="CZ364" s="225"/>
      <c r="DA364" s="225"/>
      <c r="DB364" s="225"/>
      <c r="DC364" s="225"/>
      <c r="DD364" s="225"/>
      <c r="DE364" s="225"/>
      <c r="DF364" s="225"/>
      <c r="DG364" s="225"/>
      <c r="DH364" s="225"/>
      <c r="DI364" s="225"/>
      <c r="DJ364" s="225"/>
      <c r="DK364" s="225"/>
      <c r="DL364" s="225"/>
      <c r="DM364" s="225"/>
      <c r="DN364" s="225"/>
      <c r="DO364" s="225"/>
      <c r="DP364" s="225"/>
      <c r="DQ364" s="225"/>
    </row>
    <row r="365" spans="1:121" ht="12" customHeight="1">
      <c r="J365" s="312"/>
      <c r="K365" s="313"/>
      <c r="L365" s="313"/>
      <c r="M365" s="313"/>
      <c r="N365" s="277"/>
      <c r="O365" s="277"/>
      <c r="P365" s="277"/>
      <c r="Q365" s="277"/>
      <c r="R365" s="277"/>
      <c r="S365" s="277"/>
      <c r="T365" s="277"/>
      <c r="U365" s="277"/>
      <c r="V365" s="277"/>
      <c r="W365" s="277"/>
      <c r="X365" s="277"/>
      <c r="Y365" s="277"/>
      <c r="Z365" s="277"/>
      <c r="AA365" s="277"/>
      <c r="AB365" s="277"/>
      <c r="AC365" s="277"/>
      <c r="AD365" s="277"/>
      <c r="AE365" s="277"/>
      <c r="AF365" s="277"/>
      <c r="AG365" s="277"/>
      <c r="AH365" s="277"/>
      <c r="AI365" s="277"/>
      <c r="AJ365" s="277"/>
      <c r="AK365" s="277"/>
      <c r="AL365" s="277"/>
      <c r="AM365" s="277"/>
      <c r="AN365" s="277"/>
      <c r="AO365" s="277"/>
      <c r="AP365" s="277"/>
      <c r="AQ365" s="277"/>
      <c r="AR365" s="277"/>
      <c r="AS365" s="277"/>
      <c r="AT365" s="277"/>
      <c r="AU365" s="277"/>
      <c r="BW365" s="225"/>
      <c r="BX365" s="225"/>
      <c r="BY365" s="225"/>
      <c r="BZ365" s="225"/>
      <c r="CA365" s="225"/>
      <c r="CB365" s="225"/>
      <c r="CC365" s="225"/>
      <c r="CD365" s="225"/>
      <c r="CE365" s="225"/>
      <c r="CF365" s="225"/>
      <c r="CG365" s="225"/>
      <c r="CH365" s="225"/>
      <c r="CI365" s="225"/>
      <c r="CJ365" s="225"/>
      <c r="CK365" s="225"/>
      <c r="CL365" s="225"/>
      <c r="CM365" s="225"/>
      <c r="CN365" s="225"/>
      <c r="CO365" s="225"/>
      <c r="CP365" s="225"/>
      <c r="CQ365" s="225"/>
      <c r="CR365" s="225"/>
      <c r="CS365" s="225"/>
      <c r="CT365" s="225"/>
      <c r="CU365" s="225"/>
      <c r="CV365" s="225"/>
      <c r="CW365" s="225"/>
      <c r="CX365" s="225"/>
      <c r="CY365" s="225"/>
      <c r="CZ365" s="225"/>
      <c r="DA365" s="225"/>
      <c r="DB365" s="225"/>
      <c r="DC365" s="225"/>
      <c r="DD365" s="225"/>
      <c r="DE365" s="225"/>
      <c r="DF365" s="225"/>
      <c r="DG365" s="225"/>
      <c r="DH365" s="225"/>
      <c r="DI365" s="225"/>
      <c r="DJ365" s="225"/>
      <c r="DK365" s="225"/>
      <c r="DL365" s="225"/>
      <c r="DM365" s="225"/>
      <c r="DN365" s="225"/>
      <c r="DO365" s="225"/>
      <c r="DP365" s="225"/>
      <c r="DQ365" s="225"/>
    </row>
    <row r="366" spans="1:121" ht="12" customHeight="1">
      <c r="J366" s="312"/>
      <c r="K366" s="313"/>
      <c r="L366" s="313"/>
      <c r="M366" s="313"/>
      <c r="N366" s="277"/>
      <c r="O366" s="277"/>
      <c r="P366" s="277"/>
      <c r="Q366" s="277"/>
      <c r="R366" s="277"/>
      <c r="S366" s="277"/>
      <c r="T366" s="277"/>
      <c r="U366" s="277"/>
      <c r="V366" s="277"/>
      <c r="W366" s="277"/>
      <c r="X366" s="277"/>
      <c r="Y366" s="277"/>
      <c r="Z366" s="277"/>
      <c r="AA366" s="277"/>
      <c r="AB366" s="277"/>
      <c r="AC366" s="277"/>
      <c r="AD366" s="277"/>
      <c r="AE366" s="277"/>
      <c r="AF366" s="277"/>
      <c r="AG366" s="277"/>
      <c r="AH366" s="277"/>
      <c r="AI366" s="277"/>
      <c r="AJ366" s="277"/>
      <c r="AK366" s="277"/>
      <c r="AL366" s="277"/>
      <c r="AM366" s="277"/>
      <c r="AN366" s="277"/>
      <c r="AO366" s="277"/>
      <c r="AP366" s="277"/>
      <c r="AQ366" s="277"/>
      <c r="AR366" s="277"/>
      <c r="AS366" s="277"/>
      <c r="AT366" s="277"/>
      <c r="AU366" s="277"/>
      <c r="BW366" s="225"/>
      <c r="BX366" s="225"/>
      <c r="BY366" s="225"/>
      <c r="BZ366" s="225"/>
      <c r="CA366" s="225"/>
      <c r="CB366" s="225"/>
      <c r="CC366" s="225"/>
      <c r="CD366" s="225"/>
      <c r="CE366" s="225"/>
      <c r="CF366" s="225"/>
      <c r="CG366" s="225"/>
      <c r="CH366" s="225"/>
      <c r="CI366" s="225"/>
      <c r="CJ366" s="225"/>
      <c r="CK366" s="225"/>
      <c r="CL366" s="225"/>
      <c r="CM366" s="225"/>
      <c r="CN366" s="225"/>
      <c r="CO366" s="225"/>
      <c r="CP366" s="225"/>
      <c r="CQ366" s="225"/>
      <c r="CR366" s="225"/>
      <c r="CS366" s="225"/>
      <c r="CT366" s="225"/>
      <c r="CU366" s="225"/>
      <c r="CV366" s="225"/>
      <c r="CW366" s="225"/>
      <c r="CX366" s="225"/>
      <c r="CY366" s="225"/>
      <c r="CZ366" s="225"/>
      <c r="DA366" s="225"/>
      <c r="DB366" s="225"/>
      <c r="DC366" s="225"/>
      <c r="DD366" s="225"/>
      <c r="DE366" s="225"/>
      <c r="DF366" s="225"/>
      <c r="DG366" s="225"/>
      <c r="DH366" s="225"/>
      <c r="DI366" s="225"/>
      <c r="DJ366" s="225"/>
      <c r="DK366" s="225"/>
      <c r="DL366" s="225"/>
      <c r="DM366" s="225"/>
      <c r="DN366" s="225"/>
      <c r="DO366" s="225"/>
      <c r="DP366" s="225"/>
      <c r="DQ366" s="225"/>
    </row>
    <row r="367" spans="1:121" ht="12" customHeight="1">
      <c r="J367" s="312"/>
      <c r="K367" s="313"/>
      <c r="L367" s="313"/>
      <c r="M367" s="313"/>
      <c r="N367" s="277"/>
      <c r="O367" s="277"/>
      <c r="P367" s="277"/>
      <c r="Q367" s="277"/>
      <c r="R367" s="277"/>
      <c r="S367" s="277"/>
      <c r="T367" s="277"/>
      <c r="U367" s="277"/>
      <c r="V367" s="277"/>
      <c r="W367" s="277"/>
      <c r="X367" s="277"/>
      <c r="Y367" s="277"/>
      <c r="Z367" s="277"/>
      <c r="AA367" s="277"/>
      <c r="AB367" s="277"/>
      <c r="AC367" s="277"/>
      <c r="AD367" s="277"/>
      <c r="AE367" s="277"/>
      <c r="AF367" s="277"/>
      <c r="AG367" s="277"/>
      <c r="AH367" s="277"/>
      <c r="AI367" s="277"/>
      <c r="AJ367" s="277"/>
      <c r="AK367" s="277"/>
      <c r="AL367" s="277"/>
      <c r="AM367" s="277"/>
      <c r="AN367" s="277"/>
      <c r="AO367" s="277"/>
      <c r="AP367" s="277"/>
      <c r="AQ367" s="277"/>
      <c r="AR367" s="277"/>
      <c r="AS367" s="277"/>
      <c r="AT367" s="277"/>
      <c r="AU367" s="277"/>
      <c r="BW367" s="225"/>
      <c r="BX367" s="225"/>
      <c r="BY367" s="225"/>
      <c r="BZ367" s="225"/>
      <c r="CA367" s="225"/>
      <c r="CB367" s="225"/>
      <c r="CC367" s="225"/>
      <c r="CD367" s="225"/>
      <c r="CE367" s="225"/>
      <c r="CF367" s="225"/>
      <c r="CG367" s="225"/>
      <c r="CH367" s="225"/>
      <c r="CI367" s="225"/>
      <c r="CJ367" s="225"/>
      <c r="CK367" s="225"/>
      <c r="CL367" s="225"/>
      <c r="CM367" s="225"/>
      <c r="CN367" s="225"/>
      <c r="CO367" s="225"/>
      <c r="CP367" s="225"/>
      <c r="CQ367" s="225"/>
      <c r="CR367" s="225"/>
      <c r="CS367" s="225"/>
      <c r="CT367" s="225"/>
      <c r="CU367" s="225"/>
      <c r="CV367" s="225"/>
      <c r="CW367" s="225"/>
      <c r="CX367" s="225"/>
      <c r="CY367" s="225"/>
      <c r="CZ367" s="225"/>
      <c r="DA367" s="225"/>
      <c r="DB367" s="225"/>
      <c r="DC367" s="225"/>
      <c r="DD367" s="225"/>
      <c r="DE367" s="225"/>
      <c r="DF367" s="225"/>
      <c r="DG367" s="225"/>
      <c r="DH367" s="225"/>
      <c r="DI367" s="225"/>
      <c r="DJ367" s="225"/>
      <c r="DK367" s="225"/>
      <c r="DL367" s="225"/>
      <c r="DM367" s="225"/>
      <c r="DN367" s="225"/>
      <c r="DO367" s="225"/>
      <c r="DP367" s="225"/>
      <c r="DQ367" s="225"/>
    </row>
    <row r="368" spans="1:121" ht="12" customHeight="1">
      <c r="J368" s="312"/>
      <c r="K368" s="313"/>
      <c r="L368" s="313"/>
      <c r="M368" s="313"/>
      <c r="N368" s="277"/>
      <c r="O368" s="277"/>
      <c r="P368" s="277"/>
      <c r="Q368" s="277"/>
      <c r="R368" s="277"/>
      <c r="S368" s="277"/>
      <c r="T368" s="277"/>
      <c r="U368" s="277"/>
      <c r="V368" s="277"/>
      <c r="W368" s="277"/>
      <c r="X368" s="277"/>
      <c r="Y368" s="277"/>
      <c r="Z368" s="277"/>
      <c r="AA368" s="277"/>
      <c r="AB368" s="277"/>
      <c r="AC368" s="277"/>
      <c r="AD368" s="277"/>
      <c r="AE368" s="277"/>
      <c r="AF368" s="277"/>
      <c r="AG368" s="277"/>
      <c r="AH368" s="277"/>
      <c r="AI368" s="277"/>
      <c r="AJ368" s="277"/>
      <c r="AK368" s="277"/>
      <c r="AL368" s="277"/>
      <c r="AM368" s="277"/>
      <c r="AN368" s="277"/>
      <c r="AO368" s="277"/>
      <c r="AP368" s="277"/>
      <c r="AQ368" s="277"/>
      <c r="AR368" s="277"/>
      <c r="AS368" s="277"/>
      <c r="AT368" s="277"/>
      <c r="AU368" s="277"/>
      <c r="BW368" s="225"/>
      <c r="BX368" s="225"/>
      <c r="BY368" s="225"/>
      <c r="BZ368" s="225"/>
      <c r="CA368" s="225"/>
      <c r="CB368" s="225"/>
      <c r="CC368" s="225"/>
      <c r="CD368" s="225"/>
      <c r="CE368" s="225"/>
      <c r="CF368" s="225"/>
      <c r="CG368" s="225"/>
      <c r="CH368" s="225"/>
      <c r="CI368" s="225"/>
      <c r="CJ368" s="225"/>
      <c r="CK368" s="225"/>
      <c r="CL368" s="225"/>
      <c r="CM368" s="225"/>
      <c r="CN368" s="225"/>
      <c r="CO368" s="225"/>
      <c r="CP368" s="225"/>
      <c r="CQ368" s="225"/>
      <c r="CR368" s="225"/>
      <c r="CS368" s="225"/>
      <c r="CT368" s="225"/>
      <c r="CU368" s="225"/>
      <c r="CV368" s="225"/>
      <c r="CW368" s="225"/>
      <c r="CX368" s="225"/>
      <c r="CY368" s="225"/>
      <c r="CZ368" s="225"/>
      <c r="DA368" s="225"/>
      <c r="DB368" s="225"/>
      <c r="DC368" s="225"/>
      <c r="DD368" s="225"/>
      <c r="DE368" s="225"/>
      <c r="DF368" s="225"/>
      <c r="DG368" s="225"/>
      <c r="DH368" s="225"/>
      <c r="DI368" s="225"/>
      <c r="DJ368" s="225"/>
      <c r="DK368" s="225"/>
      <c r="DL368" s="225"/>
      <c r="DM368" s="225"/>
      <c r="DN368" s="225"/>
      <c r="DO368" s="225"/>
      <c r="DP368" s="225"/>
      <c r="DQ368" s="225"/>
    </row>
    <row r="369" spans="10:121" ht="12" customHeight="1">
      <c r="J369" s="312"/>
      <c r="K369" s="313"/>
      <c r="L369" s="313"/>
      <c r="M369" s="313"/>
      <c r="N369" s="277"/>
      <c r="O369" s="277"/>
      <c r="P369" s="277"/>
      <c r="Q369" s="277"/>
      <c r="R369" s="277"/>
      <c r="S369" s="277"/>
      <c r="T369" s="277"/>
      <c r="U369" s="277"/>
      <c r="V369" s="277"/>
      <c r="W369" s="277"/>
      <c r="X369" s="277"/>
      <c r="Y369" s="277"/>
      <c r="Z369" s="277"/>
      <c r="AA369" s="277"/>
      <c r="AB369" s="277"/>
      <c r="AC369" s="277"/>
      <c r="AD369" s="277"/>
      <c r="AE369" s="277"/>
      <c r="AF369" s="277"/>
      <c r="AG369" s="277"/>
      <c r="AH369" s="277"/>
      <c r="AI369" s="277"/>
      <c r="AJ369" s="277"/>
      <c r="AK369" s="277"/>
      <c r="AL369" s="277"/>
      <c r="AM369" s="277"/>
      <c r="AN369" s="277"/>
      <c r="AO369" s="277"/>
      <c r="AP369" s="277"/>
      <c r="AQ369" s="277"/>
      <c r="AR369" s="277"/>
      <c r="AS369" s="277"/>
      <c r="AT369" s="277"/>
      <c r="AU369" s="277"/>
      <c r="BW369" s="225"/>
      <c r="BX369" s="225"/>
      <c r="BY369" s="225"/>
      <c r="BZ369" s="225"/>
      <c r="CA369" s="225"/>
      <c r="CB369" s="225"/>
      <c r="CC369" s="225"/>
      <c r="CD369" s="225"/>
      <c r="CE369" s="225"/>
      <c r="CF369" s="225"/>
      <c r="CG369" s="225"/>
      <c r="CH369" s="225"/>
      <c r="CI369" s="225"/>
      <c r="CJ369" s="225"/>
      <c r="CK369" s="225"/>
      <c r="CL369" s="225"/>
      <c r="CM369" s="225"/>
      <c r="CN369" s="225"/>
      <c r="CO369" s="225"/>
      <c r="CP369" s="225"/>
      <c r="CQ369" s="225"/>
      <c r="CR369" s="225"/>
      <c r="CS369" s="225"/>
      <c r="CT369" s="225"/>
      <c r="CU369" s="225"/>
      <c r="CV369" s="225"/>
      <c r="CW369" s="225"/>
      <c r="CX369" s="225"/>
      <c r="CY369" s="225"/>
      <c r="CZ369" s="225"/>
      <c r="DA369" s="225"/>
      <c r="DB369" s="225"/>
      <c r="DC369" s="225"/>
      <c r="DD369" s="225"/>
      <c r="DE369" s="225"/>
      <c r="DF369" s="225"/>
      <c r="DG369" s="225"/>
      <c r="DH369" s="225"/>
      <c r="DI369" s="225"/>
      <c r="DJ369" s="225"/>
      <c r="DK369" s="225"/>
      <c r="DL369" s="225"/>
      <c r="DM369" s="225"/>
      <c r="DN369" s="225"/>
      <c r="DO369" s="225"/>
      <c r="DP369" s="225"/>
      <c r="DQ369" s="225"/>
    </row>
    <row r="370" spans="10:121" ht="12" customHeight="1">
      <c r="J370" s="312"/>
      <c r="K370" s="313"/>
      <c r="L370" s="313"/>
      <c r="M370" s="313"/>
      <c r="N370" s="277"/>
      <c r="O370" s="277"/>
      <c r="P370" s="277"/>
      <c r="Q370" s="277"/>
      <c r="R370" s="277"/>
      <c r="S370" s="277"/>
      <c r="T370" s="277"/>
      <c r="U370" s="277"/>
      <c r="V370" s="277"/>
      <c r="W370" s="277"/>
      <c r="X370" s="277"/>
      <c r="Y370" s="277"/>
      <c r="Z370" s="277"/>
      <c r="AA370" s="277"/>
      <c r="AB370" s="277"/>
      <c r="AC370" s="277"/>
      <c r="AD370" s="277"/>
      <c r="AE370" s="277"/>
      <c r="AF370" s="277"/>
      <c r="AG370" s="277"/>
      <c r="AH370" s="277"/>
      <c r="AI370" s="277"/>
      <c r="AJ370" s="277"/>
      <c r="AK370" s="277"/>
      <c r="AL370" s="277"/>
      <c r="AM370" s="277"/>
      <c r="AN370" s="277"/>
      <c r="AO370" s="277"/>
      <c r="AP370" s="277"/>
      <c r="AQ370" s="277"/>
      <c r="AR370" s="277"/>
      <c r="AS370" s="277"/>
      <c r="AT370" s="277"/>
      <c r="AU370" s="277"/>
      <c r="BW370" s="225"/>
      <c r="BX370" s="225"/>
      <c r="BY370" s="225"/>
      <c r="BZ370" s="225"/>
      <c r="CA370" s="225"/>
      <c r="CB370" s="225"/>
      <c r="CC370" s="225"/>
      <c r="CD370" s="225"/>
      <c r="CE370" s="225"/>
      <c r="CF370" s="225"/>
      <c r="CG370" s="225"/>
      <c r="CH370" s="225"/>
      <c r="CI370" s="225"/>
      <c r="CJ370" s="225"/>
      <c r="CK370" s="225"/>
      <c r="CL370" s="225"/>
      <c r="CM370" s="225"/>
      <c r="CN370" s="225"/>
      <c r="CO370" s="225"/>
      <c r="CP370" s="225"/>
      <c r="CQ370" s="225"/>
      <c r="CR370" s="225"/>
      <c r="CS370" s="225"/>
      <c r="CT370" s="225"/>
      <c r="CU370" s="225"/>
      <c r="CV370" s="225"/>
      <c r="CW370" s="225"/>
      <c r="CX370" s="225"/>
      <c r="CY370" s="225"/>
      <c r="CZ370" s="225"/>
      <c r="DA370" s="225"/>
      <c r="DB370" s="225"/>
      <c r="DC370" s="225"/>
      <c r="DD370" s="225"/>
      <c r="DE370" s="225"/>
      <c r="DF370" s="225"/>
      <c r="DG370" s="225"/>
      <c r="DH370" s="225"/>
      <c r="DI370" s="225"/>
      <c r="DJ370" s="225"/>
      <c r="DK370" s="225"/>
      <c r="DL370" s="225"/>
      <c r="DM370" s="225"/>
      <c r="DN370" s="225"/>
      <c r="DO370" s="225"/>
      <c r="DP370" s="225"/>
      <c r="DQ370" s="225"/>
    </row>
    <row r="371" spans="10:121" ht="12" customHeight="1">
      <c r="J371" s="277"/>
      <c r="K371" s="277"/>
      <c r="L371" s="277"/>
      <c r="M371" s="277"/>
      <c r="N371" s="277"/>
      <c r="O371" s="277"/>
      <c r="P371" s="277"/>
      <c r="Q371" s="277"/>
      <c r="R371" s="277"/>
      <c r="S371" s="277"/>
      <c r="T371" s="277"/>
      <c r="U371" s="277"/>
      <c r="V371" s="277"/>
      <c r="W371" s="277"/>
      <c r="X371" s="277"/>
      <c r="Y371" s="277"/>
      <c r="Z371" s="277"/>
      <c r="AA371" s="277"/>
      <c r="AB371" s="277"/>
      <c r="AC371" s="277"/>
      <c r="AD371" s="277"/>
      <c r="AE371" s="277"/>
      <c r="AF371" s="277"/>
      <c r="AG371" s="277"/>
      <c r="AH371" s="277"/>
      <c r="AI371" s="277"/>
      <c r="AJ371" s="277"/>
      <c r="AK371" s="277"/>
      <c r="AL371" s="277"/>
      <c r="AM371" s="277"/>
      <c r="AN371" s="277"/>
      <c r="AO371" s="277"/>
      <c r="AP371" s="277"/>
      <c r="AQ371" s="277"/>
      <c r="AR371" s="277"/>
      <c r="AS371" s="277"/>
      <c r="AT371" s="277"/>
      <c r="AU371" s="277"/>
      <c r="BW371" s="225"/>
      <c r="BX371" s="225"/>
      <c r="BY371" s="225"/>
      <c r="BZ371" s="225"/>
      <c r="CA371" s="225"/>
      <c r="CB371" s="225"/>
      <c r="CC371" s="225"/>
      <c r="CD371" s="225"/>
      <c r="CE371" s="225"/>
      <c r="CF371" s="225"/>
      <c r="CG371" s="225"/>
      <c r="CH371" s="225"/>
      <c r="CI371" s="225"/>
      <c r="CJ371" s="225"/>
      <c r="CK371" s="225"/>
      <c r="CL371" s="225"/>
      <c r="CM371" s="225"/>
      <c r="CN371" s="225"/>
      <c r="CO371" s="225"/>
      <c r="CP371" s="225"/>
      <c r="CQ371" s="225"/>
      <c r="CR371" s="225"/>
      <c r="CS371" s="225"/>
      <c r="CT371" s="225"/>
      <c r="CU371" s="225"/>
      <c r="CV371" s="225"/>
      <c r="CW371" s="225"/>
      <c r="CX371" s="225"/>
      <c r="CY371" s="225"/>
      <c r="CZ371" s="225"/>
      <c r="DA371" s="225"/>
      <c r="DB371" s="225"/>
      <c r="DC371" s="225"/>
      <c r="DD371" s="225"/>
      <c r="DE371" s="225"/>
      <c r="DF371" s="225"/>
      <c r="DG371" s="225"/>
      <c r="DH371" s="225"/>
      <c r="DI371" s="225"/>
      <c r="DJ371" s="225"/>
      <c r="DK371" s="225"/>
      <c r="DL371" s="225"/>
      <c r="DM371" s="225"/>
      <c r="DN371" s="225"/>
      <c r="DO371" s="225"/>
      <c r="DP371" s="225"/>
      <c r="DQ371" s="225"/>
    </row>
    <row r="372" spans="10:121" ht="12" customHeight="1">
      <c r="J372" s="277"/>
      <c r="K372" s="277"/>
      <c r="L372" s="277"/>
      <c r="M372" s="277"/>
      <c r="N372" s="277"/>
      <c r="O372" s="277"/>
      <c r="P372" s="277"/>
      <c r="Q372" s="277"/>
      <c r="R372" s="277"/>
      <c r="S372" s="277"/>
      <c r="T372" s="277"/>
      <c r="U372" s="277"/>
      <c r="V372" s="277"/>
      <c r="W372" s="277"/>
      <c r="X372" s="277"/>
      <c r="Y372" s="277"/>
      <c r="Z372" s="277"/>
      <c r="AA372" s="277"/>
      <c r="AB372" s="277"/>
      <c r="AC372" s="277"/>
      <c r="AD372" s="277"/>
      <c r="AE372" s="277"/>
      <c r="AF372" s="277"/>
      <c r="AG372" s="277"/>
      <c r="AH372" s="277"/>
      <c r="AI372" s="277"/>
      <c r="AJ372" s="277"/>
      <c r="AK372" s="277"/>
      <c r="AL372" s="277"/>
      <c r="AM372" s="277"/>
      <c r="AN372" s="277"/>
      <c r="AO372" s="277"/>
      <c r="AP372" s="277"/>
      <c r="AQ372" s="277"/>
      <c r="AR372" s="277"/>
      <c r="AS372" s="277"/>
      <c r="AT372" s="277"/>
      <c r="AU372" s="277"/>
      <c r="BW372" s="225"/>
      <c r="BX372" s="225"/>
      <c r="BY372" s="225"/>
      <c r="BZ372" s="225"/>
      <c r="CA372" s="225"/>
      <c r="CB372" s="225"/>
      <c r="CC372" s="225"/>
      <c r="CD372" s="225"/>
      <c r="CE372" s="225"/>
      <c r="CF372" s="225"/>
      <c r="CG372" s="225"/>
      <c r="CH372" s="225"/>
      <c r="CI372" s="225"/>
      <c r="CJ372" s="225"/>
      <c r="CK372" s="225"/>
      <c r="CL372" s="225"/>
      <c r="CM372" s="225"/>
      <c r="CN372" s="225"/>
      <c r="CO372" s="225"/>
      <c r="CP372" s="225"/>
      <c r="CQ372" s="225"/>
      <c r="CR372" s="225"/>
      <c r="CS372" s="225"/>
      <c r="CT372" s="225"/>
      <c r="CU372" s="225"/>
      <c r="CV372" s="225"/>
      <c r="CW372" s="225"/>
      <c r="CX372" s="225"/>
      <c r="CY372" s="225"/>
      <c r="CZ372" s="225"/>
      <c r="DA372" s="225"/>
      <c r="DB372" s="225"/>
      <c r="DC372" s="225"/>
      <c r="DD372" s="225"/>
      <c r="DE372" s="225"/>
      <c r="DF372" s="225"/>
      <c r="DG372" s="225"/>
      <c r="DH372" s="225"/>
      <c r="DI372" s="225"/>
      <c r="DJ372" s="225"/>
      <c r="DK372" s="225"/>
      <c r="DL372" s="225"/>
      <c r="DM372" s="225"/>
      <c r="DN372" s="225"/>
      <c r="DO372" s="225"/>
      <c r="DP372" s="225"/>
      <c r="DQ372" s="225"/>
    </row>
    <row r="373" spans="10:121" ht="12" customHeight="1">
      <c r="J373" s="277"/>
      <c r="K373" s="277"/>
      <c r="L373" s="277"/>
      <c r="M373" s="277"/>
      <c r="N373" s="277"/>
      <c r="O373" s="277"/>
      <c r="P373" s="277"/>
      <c r="Q373" s="277"/>
      <c r="R373" s="277"/>
      <c r="S373" s="277"/>
      <c r="T373" s="277"/>
      <c r="U373" s="277"/>
      <c r="V373" s="277"/>
      <c r="W373" s="277"/>
      <c r="X373" s="277"/>
      <c r="Y373" s="277"/>
      <c r="Z373" s="277"/>
      <c r="AA373" s="277"/>
      <c r="AB373" s="277"/>
      <c r="AC373" s="277"/>
      <c r="AD373" s="277"/>
      <c r="AE373" s="277"/>
      <c r="AF373" s="277"/>
      <c r="AG373" s="277"/>
      <c r="AH373" s="277"/>
      <c r="AI373" s="277"/>
      <c r="AJ373" s="277"/>
      <c r="AK373" s="277"/>
      <c r="AL373" s="277"/>
      <c r="AM373" s="277"/>
      <c r="AN373" s="277"/>
      <c r="AO373" s="277"/>
      <c r="AP373" s="277"/>
      <c r="AQ373" s="277"/>
      <c r="AR373" s="277"/>
      <c r="AS373" s="277"/>
      <c r="AT373" s="277"/>
      <c r="AU373" s="277"/>
      <c r="BW373" s="225"/>
      <c r="BX373" s="225"/>
      <c r="BY373" s="225"/>
      <c r="BZ373" s="225"/>
      <c r="CA373" s="225"/>
      <c r="CB373" s="225"/>
      <c r="CC373" s="225"/>
      <c r="CD373" s="225"/>
      <c r="CE373" s="225"/>
      <c r="CF373" s="225"/>
      <c r="CG373" s="225"/>
      <c r="CH373" s="225"/>
      <c r="CI373" s="225"/>
      <c r="CJ373" s="225"/>
      <c r="CK373" s="225"/>
      <c r="CL373" s="225"/>
      <c r="CM373" s="225"/>
      <c r="CN373" s="225"/>
      <c r="CO373" s="225"/>
      <c r="CP373" s="225"/>
      <c r="CQ373" s="225"/>
      <c r="CR373" s="225"/>
      <c r="CS373" s="225"/>
      <c r="CT373" s="225"/>
      <c r="CU373" s="225"/>
      <c r="CV373" s="225"/>
      <c r="CW373" s="225"/>
      <c r="CX373" s="225"/>
      <c r="CY373" s="225"/>
      <c r="CZ373" s="225"/>
      <c r="DA373" s="225"/>
      <c r="DB373" s="225"/>
      <c r="DC373" s="225"/>
      <c r="DD373" s="225"/>
      <c r="DE373" s="225"/>
      <c r="DF373" s="225"/>
      <c r="DG373" s="225"/>
      <c r="DH373" s="225"/>
      <c r="DI373" s="225"/>
      <c r="DJ373" s="225"/>
      <c r="DK373" s="225"/>
      <c r="DL373" s="225"/>
      <c r="DM373" s="225"/>
      <c r="DN373" s="225"/>
      <c r="DO373" s="225"/>
      <c r="DP373" s="225"/>
      <c r="DQ373" s="225"/>
    </row>
    <row r="374" spans="10:121" ht="12" customHeight="1">
      <c r="J374" s="277"/>
      <c r="K374" s="277"/>
      <c r="L374" s="277"/>
      <c r="M374" s="277"/>
      <c r="N374" s="277"/>
      <c r="O374" s="277"/>
      <c r="P374" s="277"/>
      <c r="Q374" s="277"/>
      <c r="R374" s="277"/>
      <c r="S374" s="277"/>
      <c r="T374" s="277"/>
      <c r="U374" s="277"/>
      <c r="V374" s="277"/>
      <c r="W374" s="277"/>
      <c r="X374" s="277"/>
      <c r="Y374" s="277"/>
      <c r="Z374" s="277"/>
      <c r="AA374" s="277"/>
      <c r="AB374" s="277"/>
      <c r="AC374" s="277"/>
      <c r="AD374" s="277"/>
      <c r="AE374" s="277"/>
      <c r="AF374" s="277"/>
      <c r="AG374" s="277"/>
      <c r="AH374" s="277"/>
      <c r="AI374" s="277"/>
      <c r="AJ374" s="277"/>
      <c r="AK374" s="277"/>
      <c r="AL374" s="277"/>
      <c r="AM374" s="277"/>
      <c r="AN374" s="277"/>
      <c r="AO374" s="277"/>
      <c r="AP374" s="277"/>
      <c r="AQ374" s="277"/>
      <c r="AR374" s="277"/>
      <c r="AS374" s="277"/>
      <c r="AT374" s="277"/>
      <c r="AU374" s="277"/>
      <c r="BW374" s="225"/>
      <c r="BX374" s="225"/>
      <c r="BY374" s="225"/>
      <c r="BZ374" s="225"/>
      <c r="CA374" s="225"/>
      <c r="CB374" s="225"/>
      <c r="CC374" s="225"/>
      <c r="CD374" s="225"/>
      <c r="CE374" s="225"/>
      <c r="CF374" s="225"/>
      <c r="CG374" s="225"/>
      <c r="CH374" s="225"/>
      <c r="CI374" s="225"/>
      <c r="CJ374" s="225"/>
      <c r="CK374" s="225"/>
      <c r="CL374" s="225"/>
      <c r="CM374" s="225"/>
      <c r="CN374" s="225"/>
      <c r="CO374" s="225"/>
      <c r="CP374" s="225"/>
      <c r="CQ374" s="225"/>
      <c r="CR374" s="225"/>
      <c r="CS374" s="225"/>
      <c r="CT374" s="225"/>
      <c r="CU374" s="225"/>
      <c r="CV374" s="225"/>
      <c r="CW374" s="225"/>
      <c r="CX374" s="225"/>
      <c r="CY374" s="225"/>
      <c r="CZ374" s="225"/>
      <c r="DA374" s="225"/>
      <c r="DB374" s="225"/>
      <c r="DC374" s="225"/>
      <c r="DD374" s="225"/>
      <c r="DE374" s="225"/>
      <c r="DF374" s="225"/>
      <c r="DG374" s="225"/>
      <c r="DH374" s="225"/>
      <c r="DI374" s="225"/>
      <c r="DJ374" s="225"/>
      <c r="DK374" s="225"/>
      <c r="DL374" s="225"/>
      <c r="DM374" s="225"/>
      <c r="DN374" s="225"/>
      <c r="DO374" s="225"/>
      <c r="DP374" s="225"/>
      <c r="DQ374" s="225"/>
    </row>
    <row r="375" spans="10:121" ht="12" customHeight="1">
      <c r="J375" s="314"/>
      <c r="K375" s="313"/>
      <c r="L375" s="313"/>
      <c r="M375" s="313"/>
      <c r="N375" s="277"/>
      <c r="O375" s="277"/>
      <c r="P375" s="277"/>
      <c r="Q375" s="277"/>
      <c r="R375" s="277"/>
      <c r="S375" s="277"/>
      <c r="T375" s="277"/>
      <c r="U375" s="277"/>
      <c r="V375" s="277"/>
      <c r="W375" s="277"/>
      <c r="X375" s="277"/>
      <c r="Y375" s="277"/>
      <c r="Z375" s="277"/>
      <c r="AA375" s="277"/>
      <c r="AB375" s="277"/>
      <c r="AC375" s="277"/>
      <c r="AD375" s="277"/>
      <c r="AE375" s="277"/>
      <c r="AF375" s="277"/>
      <c r="AG375" s="277"/>
      <c r="AH375" s="277"/>
      <c r="AI375" s="277"/>
      <c r="AJ375" s="277"/>
      <c r="AK375" s="277"/>
      <c r="AL375" s="277"/>
      <c r="AM375" s="277"/>
      <c r="AN375" s="277"/>
      <c r="AO375" s="277"/>
      <c r="AP375" s="277"/>
      <c r="AQ375" s="277"/>
      <c r="AR375" s="277"/>
      <c r="AS375" s="277"/>
      <c r="AT375" s="277"/>
      <c r="AU375" s="277"/>
      <c r="BW375" s="225"/>
      <c r="BX375" s="225"/>
      <c r="BY375" s="225"/>
      <c r="BZ375" s="225"/>
      <c r="CA375" s="225"/>
      <c r="CB375" s="225"/>
      <c r="CC375" s="225"/>
      <c r="CD375" s="225"/>
      <c r="CE375" s="225"/>
      <c r="CF375" s="225"/>
      <c r="CG375" s="225"/>
      <c r="CH375" s="225"/>
      <c r="CI375" s="225"/>
      <c r="CJ375" s="225"/>
      <c r="CK375" s="225"/>
      <c r="CL375" s="225"/>
      <c r="CM375" s="225"/>
      <c r="CN375" s="225"/>
      <c r="CO375" s="225"/>
      <c r="CP375" s="225"/>
      <c r="CQ375" s="225"/>
      <c r="CR375" s="225"/>
      <c r="CS375" s="225"/>
      <c r="CT375" s="225"/>
      <c r="CU375" s="225"/>
      <c r="CV375" s="225"/>
      <c r="CW375" s="225"/>
      <c r="CX375" s="225"/>
      <c r="CY375" s="225"/>
      <c r="CZ375" s="225"/>
      <c r="DA375" s="225"/>
      <c r="DB375" s="225"/>
      <c r="DC375" s="225"/>
      <c r="DD375" s="225"/>
      <c r="DE375" s="225"/>
      <c r="DF375" s="225"/>
      <c r="DG375" s="225"/>
      <c r="DH375" s="225"/>
      <c r="DI375" s="225"/>
      <c r="DJ375" s="225"/>
      <c r="DK375" s="225"/>
      <c r="DL375" s="225"/>
      <c r="DM375" s="225"/>
      <c r="DN375" s="225"/>
      <c r="DO375" s="225"/>
      <c r="DP375" s="225"/>
      <c r="DQ375" s="225"/>
    </row>
    <row r="376" spans="10:121" ht="12" customHeight="1">
      <c r="J376" s="312"/>
      <c r="K376" s="313"/>
      <c r="L376" s="313"/>
      <c r="M376" s="313"/>
      <c r="N376" s="315"/>
      <c r="O376" s="277"/>
      <c r="P376" s="280"/>
      <c r="Q376" s="277"/>
      <c r="R376" s="277"/>
      <c r="S376" s="277"/>
      <c r="T376" s="277"/>
      <c r="U376" s="277"/>
      <c r="V376" s="277"/>
      <c r="W376" s="277"/>
      <c r="X376" s="277"/>
      <c r="Y376" s="277"/>
      <c r="Z376" s="277"/>
      <c r="AA376" s="277"/>
      <c r="AB376" s="277"/>
      <c r="AC376" s="277"/>
      <c r="AD376" s="277"/>
      <c r="AE376" s="277"/>
      <c r="AF376" s="277"/>
      <c r="AG376" s="277"/>
      <c r="AH376" s="277"/>
      <c r="AI376" s="277"/>
      <c r="AJ376" s="277"/>
      <c r="AK376" s="277"/>
      <c r="AL376" s="277"/>
      <c r="AM376" s="277"/>
      <c r="AN376" s="277"/>
      <c r="AO376" s="277"/>
      <c r="AP376" s="277"/>
      <c r="AQ376" s="277"/>
      <c r="AR376" s="277"/>
      <c r="AS376" s="277"/>
      <c r="AT376" s="277"/>
      <c r="AU376" s="277"/>
      <c r="BW376" s="225"/>
      <c r="BX376" s="225"/>
      <c r="BY376" s="225"/>
      <c r="BZ376" s="225"/>
      <c r="CA376" s="225"/>
      <c r="CB376" s="225"/>
      <c r="CC376" s="225"/>
      <c r="CD376" s="225"/>
      <c r="CE376" s="225"/>
      <c r="CF376" s="225"/>
      <c r="CG376" s="225"/>
      <c r="CH376" s="225"/>
      <c r="CI376" s="225"/>
      <c r="CJ376" s="225"/>
      <c r="CK376" s="225"/>
      <c r="CL376" s="225"/>
      <c r="CM376" s="225"/>
      <c r="CN376" s="225"/>
      <c r="CO376" s="225"/>
      <c r="CP376" s="225"/>
      <c r="CQ376" s="225"/>
      <c r="CR376" s="225"/>
      <c r="CS376" s="225"/>
      <c r="CT376" s="225"/>
      <c r="CU376" s="225"/>
      <c r="CV376" s="225"/>
      <c r="CW376" s="225"/>
      <c r="CX376" s="225"/>
      <c r="CY376" s="225"/>
      <c r="CZ376" s="225"/>
      <c r="DA376" s="225"/>
      <c r="DB376" s="225"/>
      <c r="DC376" s="225"/>
      <c r="DD376" s="225"/>
      <c r="DE376" s="225"/>
      <c r="DF376" s="225"/>
      <c r="DG376" s="225"/>
      <c r="DH376" s="225"/>
      <c r="DI376" s="225"/>
      <c r="DJ376" s="225"/>
      <c r="DK376" s="225"/>
      <c r="DL376" s="225"/>
      <c r="DM376" s="225"/>
      <c r="DN376" s="225"/>
      <c r="DO376" s="225"/>
      <c r="DP376" s="225"/>
      <c r="DQ376" s="225"/>
    </row>
    <row r="377" spans="10:121" ht="12" customHeight="1">
      <c r="J377" s="312"/>
      <c r="K377" s="313"/>
      <c r="L377" s="313"/>
      <c r="M377" s="315"/>
      <c r="N377" s="277"/>
      <c r="O377" s="277"/>
      <c r="P377" s="280"/>
      <c r="Q377" s="277"/>
      <c r="R377" s="277"/>
      <c r="S377" s="277"/>
      <c r="T377" s="277"/>
      <c r="U377" s="277"/>
      <c r="V377" s="277"/>
      <c r="W377" s="277"/>
      <c r="X377" s="277"/>
      <c r="Y377" s="277"/>
      <c r="Z377" s="277"/>
      <c r="AA377" s="277"/>
      <c r="AB377" s="277"/>
      <c r="AC377" s="277"/>
      <c r="AD377" s="277"/>
      <c r="AE377" s="277"/>
      <c r="AF377" s="277"/>
      <c r="AG377" s="277"/>
      <c r="AH377" s="277"/>
      <c r="AI377" s="277"/>
      <c r="AJ377" s="277"/>
      <c r="AK377" s="277"/>
      <c r="AL377" s="277"/>
      <c r="AM377" s="277"/>
      <c r="AN377" s="277"/>
      <c r="AO377" s="277"/>
      <c r="AP377" s="277"/>
      <c r="AQ377" s="277"/>
      <c r="AR377" s="277"/>
      <c r="AS377" s="277"/>
      <c r="AT377" s="277"/>
      <c r="AU377" s="277"/>
      <c r="BW377" s="225"/>
      <c r="BX377" s="225"/>
      <c r="BY377" s="225"/>
      <c r="BZ377" s="225"/>
      <c r="CA377" s="225"/>
      <c r="CB377" s="225"/>
      <c r="CC377" s="225"/>
      <c r="CD377" s="225"/>
      <c r="CE377" s="225"/>
      <c r="CF377" s="225"/>
      <c r="CG377" s="225"/>
      <c r="CH377" s="225"/>
      <c r="CI377" s="225"/>
      <c r="CJ377" s="225"/>
      <c r="CK377" s="225"/>
      <c r="CL377" s="225"/>
      <c r="CM377" s="225"/>
      <c r="CN377" s="225"/>
      <c r="CO377" s="225"/>
      <c r="CP377" s="225"/>
      <c r="CQ377" s="225"/>
      <c r="CR377" s="225"/>
      <c r="CS377" s="225"/>
      <c r="CT377" s="225"/>
      <c r="CU377" s="225"/>
      <c r="CV377" s="225"/>
      <c r="CW377" s="225"/>
      <c r="CX377" s="225"/>
      <c r="CY377" s="225"/>
      <c r="CZ377" s="225"/>
      <c r="DA377" s="225"/>
      <c r="DB377" s="225"/>
      <c r="DC377" s="225"/>
      <c r="DD377" s="225"/>
      <c r="DE377" s="225"/>
      <c r="DF377" s="225"/>
      <c r="DG377" s="225"/>
      <c r="DH377" s="225"/>
      <c r="DI377" s="225"/>
      <c r="DJ377" s="225"/>
      <c r="DK377" s="225"/>
      <c r="DL377" s="225"/>
      <c r="DM377" s="225"/>
      <c r="DN377" s="225"/>
      <c r="DO377" s="225"/>
      <c r="DP377" s="225"/>
      <c r="DQ377" s="225"/>
    </row>
    <row r="378" spans="10:121" ht="12" customHeight="1">
      <c r="J378" s="312"/>
      <c r="K378" s="313"/>
      <c r="L378" s="313"/>
      <c r="M378" s="313"/>
      <c r="N378" s="277"/>
      <c r="O378" s="277"/>
      <c r="P378" s="277"/>
      <c r="Q378" s="277"/>
      <c r="R378" s="277"/>
      <c r="S378" s="277"/>
      <c r="T378" s="277"/>
      <c r="U378" s="277"/>
      <c r="V378" s="277"/>
      <c r="W378" s="277"/>
      <c r="X378" s="277"/>
      <c r="Y378" s="277"/>
      <c r="Z378" s="277"/>
      <c r="AA378" s="277"/>
      <c r="AB378" s="277"/>
      <c r="AC378" s="277"/>
      <c r="AD378" s="277"/>
      <c r="AE378" s="277"/>
      <c r="AF378" s="277"/>
      <c r="AG378" s="277"/>
      <c r="AH378" s="277"/>
      <c r="AI378" s="277"/>
      <c r="AJ378" s="277"/>
      <c r="AK378" s="277"/>
      <c r="AL378" s="277"/>
      <c r="AM378" s="277"/>
      <c r="AN378" s="277"/>
      <c r="AO378" s="277"/>
      <c r="AP378" s="277"/>
      <c r="AQ378" s="277"/>
      <c r="AR378" s="277"/>
      <c r="AS378" s="277"/>
      <c r="AT378" s="277"/>
      <c r="AU378" s="277"/>
      <c r="BW378" s="225"/>
      <c r="BX378" s="225"/>
      <c r="BY378" s="225"/>
      <c r="BZ378" s="225"/>
      <c r="CA378" s="225"/>
      <c r="CB378" s="225"/>
      <c r="CC378" s="225"/>
      <c r="CD378" s="225"/>
      <c r="CE378" s="225"/>
      <c r="CF378" s="225"/>
      <c r="CG378" s="225"/>
      <c r="CH378" s="225"/>
      <c r="CI378" s="225"/>
      <c r="CJ378" s="225"/>
      <c r="CK378" s="225"/>
      <c r="CL378" s="225"/>
      <c r="CM378" s="225"/>
      <c r="CN378" s="225"/>
      <c r="CO378" s="225"/>
      <c r="CP378" s="225"/>
      <c r="CQ378" s="225"/>
      <c r="CR378" s="225"/>
      <c r="CS378" s="225"/>
      <c r="CT378" s="225"/>
      <c r="CU378" s="225"/>
      <c r="CV378" s="225"/>
      <c r="CW378" s="225"/>
      <c r="CX378" s="225"/>
      <c r="CY378" s="225"/>
      <c r="CZ378" s="225"/>
      <c r="DA378" s="225"/>
      <c r="DB378" s="225"/>
      <c r="DC378" s="225"/>
      <c r="DD378" s="225"/>
      <c r="DE378" s="225"/>
      <c r="DF378" s="225"/>
      <c r="DG378" s="225"/>
      <c r="DH378" s="225"/>
      <c r="DI378" s="225"/>
      <c r="DJ378" s="225"/>
      <c r="DK378" s="225"/>
      <c r="DL378" s="225"/>
      <c r="DM378" s="225"/>
      <c r="DN378" s="225"/>
      <c r="DO378" s="225"/>
      <c r="DP378" s="225"/>
      <c r="DQ378" s="225"/>
    </row>
    <row r="379" spans="10:121" ht="12" customHeight="1">
      <c r="J379" s="312"/>
      <c r="K379" s="277"/>
      <c r="L379" s="277"/>
      <c r="M379" s="277"/>
      <c r="N379" s="277"/>
      <c r="O379" s="277"/>
      <c r="P379" s="277"/>
      <c r="Q379" s="277"/>
      <c r="R379" s="277"/>
      <c r="S379" s="277"/>
      <c r="T379" s="277"/>
      <c r="U379" s="277"/>
      <c r="V379" s="277"/>
      <c r="W379" s="277"/>
      <c r="X379" s="277"/>
      <c r="Y379" s="277"/>
      <c r="Z379" s="277"/>
      <c r="AA379" s="277"/>
      <c r="AB379" s="277"/>
      <c r="AC379" s="277"/>
      <c r="AD379" s="277"/>
      <c r="AE379" s="277"/>
      <c r="AF379" s="277"/>
      <c r="AG379" s="277"/>
      <c r="AH379" s="277"/>
      <c r="AI379" s="277"/>
      <c r="AJ379" s="277"/>
      <c r="AK379" s="277"/>
      <c r="AL379" s="277"/>
      <c r="AM379" s="277"/>
      <c r="AN379" s="277"/>
      <c r="AO379" s="277"/>
      <c r="AP379" s="277"/>
      <c r="AQ379" s="277"/>
      <c r="AR379" s="277"/>
      <c r="AS379" s="277"/>
      <c r="AT379" s="277"/>
      <c r="AU379" s="277"/>
      <c r="BW379" s="225"/>
      <c r="BX379" s="225"/>
      <c r="BY379" s="225"/>
      <c r="BZ379" s="225"/>
      <c r="CA379" s="225"/>
      <c r="CB379" s="225"/>
      <c r="CC379" s="225"/>
      <c r="CD379" s="225"/>
      <c r="CE379" s="225"/>
      <c r="CF379" s="225"/>
      <c r="CG379" s="225"/>
      <c r="CH379" s="225"/>
      <c r="CI379" s="225"/>
      <c r="CJ379" s="225"/>
      <c r="CK379" s="225"/>
      <c r="CL379" s="225"/>
      <c r="CM379" s="225"/>
      <c r="CN379" s="225"/>
      <c r="CO379" s="225"/>
      <c r="CP379" s="225"/>
      <c r="CQ379" s="225"/>
      <c r="CR379" s="225"/>
      <c r="CS379" s="225"/>
      <c r="CT379" s="225"/>
      <c r="CU379" s="225"/>
      <c r="CV379" s="225"/>
      <c r="CW379" s="225"/>
      <c r="CX379" s="225"/>
      <c r="CY379" s="225"/>
      <c r="CZ379" s="225"/>
      <c r="DA379" s="225"/>
      <c r="DB379" s="225"/>
      <c r="DC379" s="225"/>
      <c r="DD379" s="225"/>
      <c r="DE379" s="225"/>
      <c r="DF379" s="225"/>
      <c r="DG379" s="225"/>
      <c r="DH379" s="225"/>
      <c r="DI379" s="225"/>
      <c r="DJ379" s="225"/>
      <c r="DK379" s="225"/>
      <c r="DL379" s="225"/>
      <c r="DM379" s="225"/>
      <c r="DN379" s="225"/>
      <c r="DO379" s="225"/>
      <c r="DP379" s="225"/>
      <c r="DQ379" s="225"/>
    </row>
    <row r="380" spans="10:121" ht="12" customHeight="1">
      <c r="J380" s="312"/>
      <c r="K380" s="277"/>
      <c r="L380" s="277"/>
      <c r="M380" s="277"/>
      <c r="N380" s="277"/>
      <c r="O380" s="277"/>
      <c r="P380" s="277"/>
      <c r="Q380" s="277"/>
      <c r="R380" s="277"/>
      <c r="S380" s="277"/>
      <c r="T380" s="277"/>
      <c r="U380" s="277"/>
      <c r="V380" s="277"/>
      <c r="W380" s="277"/>
      <c r="X380" s="277"/>
      <c r="Y380" s="277"/>
      <c r="Z380" s="277"/>
      <c r="AA380" s="277"/>
      <c r="AB380" s="277"/>
      <c r="AC380" s="277"/>
      <c r="AD380" s="277"/>
      <c r="AE380" s="277"/>
      <c r="AF380" s="277"/>
      <c r="AG380" s="277"/>
      <c r="AH380" s="277"/>
      <c r="AI380" s="277"/>
      <c r="AJ380" s="277"/>
      <c r="AK380" s="277"/>
      <c r="AL380" s="277"/>
      <c r="AM380" s="277"/>
      <c r="AN380" s="277"/>
      <c r="AO380" s="277"/>
      <c r="AP380" s="277"/>
      <c r="AQ380" s="277"/>
      <c r="AR380" s="277"/>
      <c r="AS380" s="277"/>
      <c r="AT380" s="277"/>
      <c r="AU380" s="277"/>
      <c r="BW380" s="225"/>
      <c r="BX380" s="225"/>
      <c r="BY380" s="225"/>
      <c r="BZ380" s="225"/>
      <c r="CA380" s="225"/>
      <c r="CB380" s="225"/>
      <c r="CC380" s="225"/>
      <c r="CD380" s="225"/>
      <c r="CE380" s="225"/>
      <c r="CF380" s="225"/>
      <c r="CG380" s="225"/>
      <c r="CH380" s="225"/>
      <c r="CI380" s="225"/>
      <c r="CJ380" s="225"/>
      <c r="CK380" s="225"/>
      <c r="CL380" s="225"/>
      <c r="CM380" s="225"/>
      <c r="CN380" s="225"/>
      <c r="CO380" s="225"/>
      <c r="CP380" s="225"/>
      <c r="CQ380" s="225"/>
      <c r="CR380" s="225"/>
      <c r="CS380" s="225"/>
      <c r="CT380" s="225"/>
      <c r="CU380" s="225"/>
      <c r="CV380" s="225"/>
      <c r="CW380" s="225"/>
      <c r="CX380" s="225"/>
      <c r="CY380" s="225"/>
      <c r="CZ380" s="225"/>
      <c r="DA380" s="225"/>
      <c r="DB380" s="225"/>
      <c r="DC380" s="225"/>
      <c r="DD380" s="225"/>
      <c r="DE380" s="225"/>
      <c r="DF380" s="225"/>
      <c r="DG380" s="225"/>
      <c r="DH380" s="225"/>
      <c r="DI380" s="225"/>
      <c r="DJ380" s="225"/>
      <c r="DK380" s="225"/>
      <c r="DL380" s="225"/>
      <c r="DM380" s="225"/>
      <c r="DN380" s="225"/>
      <c r="DO380" s="225"/>
      <c r="DP380" s="225"/>
      <c r="DQ380" s="225"/>
    </row>
    <row r="381" spans="10:121" ht="12" customHeight="1">
      <c r="J381" s="277"/>
      <c r="K381" s="277"/>
      <c r="L381" s="277"/>
      <c r="M381" s="277"/>
      <c r="N381" s="277"/>
      <c r="O381" s="277"/>
      <c r="P381" s="277"/>
      <c r="Q381" s="277"/>
      <c r="R381" s="277"/>
      <c r="S381" s="277"/>
      <c r="T381" s="277"/>
      <c r="U381" s="277"/>
      <c r="V381" s="277"/>
      <c r="W381" s="277"/>
      <c r="X381" s="277"/>
      <c r="Y381" s="277"/>
      <c r="Z381" s="277"/>
      <c r="AA381" s="277"/>
      <c r="AB381" s="277"/>
      <c r="AC381" s="277"/>
      <c r="AD381" s="277"/>
      <c r="AE381" s="277"/>
      <c r="AF381" s="277"/>
      <c r="AG381" s="277"/>
      <c r="AH381" s="277"/>
      <c r="AI381" s="277"/>
      <c r="AJ381" s="277"/>
      <c r="AK381" s="277"/>
      <c r="AL381" s="277"/>
      <c r="AM381" s="277"/>
      <c r="AN381" s="277"/>
      <c r="AO381" s="277"/>
      <c r="AP381" s="277"/>
      <c r="AQ381" s="277"/>
      <c r="AR381" s="277"/>
      <c r="AS381" s="277"/>
      <c r="AT381" s="277"/>
      <c r="AU381" s="277"/>
      <c r="BW381" s="225"/>
      <c r="BX381" s="225"/>
      <c r="BY381" s="225"/>
      <c r="BZ381" s="225"/>
      <c r="CA381" s="225"/>
      <c r="CB381" s="225"/>
      <c r="CC381" s="225"/>
      <c r="CD381" s="225"/>
      <c r="CE381" s="225"/>
      <c r="CF381" s="225"/>
      <c r="CG381" s="225"/>
      <c r="CH381" s="225"/>
      <c r="CI381" s="225"/>
      <c r="CJ381" s="225"/>
      <c r="CK381" s="225"/>
      <c r="CL381" s="225"/>
      <c r="CM381" s="225"/>
      <c r="CN381" s="225"/>
      <c r="CO381" s="225"/>
      <c r="CP381" s="225"/>
      <c r="CQ381" s="225"/>
      <c r="CR381" s="225"/>
      <c r="CS381" s="225"/>
      <c r="CT381" s="225"/>
      <c r="CU381" s="225"/>
      <c r="CV381" s="225"/>
      <c r="CW381" s="225"/>
      <c r="CX381" s="225"/>
      <c r="CY381" s="225"/>
      <c r="CZ381" s="225"/>
      <c r="DA381" s="225"/>
      <c r="DB381" s="225"/>
      <c r="DC381" s="225"/>
      <c r="DD381" s="225"/>
      <c r="DE381" s="225"/>
      <c r="DF381" s="225"/>
      <c r="DG381" s="225"/>
      <c r="DH381" s="225"/>
      <c r="DI381" s="225"/>
      <c r="DJ381" s="225"/>
      <c r="DK381" s="225"/>
      <c r="DL381" s="225"/>
      <c r="DM381" s="225"/>
      <c r="DN381" s="225"/>
      <c r="DO381" s="225"/>
      <c r="DP381" s="225"/>
      <c r="DQ381" s="225"/>
    </row>
    <row r="382" spans="10:121" ht="12" customHeight="1">
      <c r="J382" s="312"/>
      <c r="K382" s="313"/>
      <c r="L382" s="313"/>
      <c r="M382" s="313"/>
      <c r="N382" s="277"/>
      <c r="O382" s="277"/>
      <c r="P382" s="280"/>
      <c r="Q382" s="277"/>
      <c r="R382" s="277"/>
      <c r="S382" s="277"/>
      <c r="T382" s="277"/>
      <c r="U382" s="277"/>
      <c r="V382" s="277"/>
      <c r="W382" s="277"/>
      <c r="X382" s="277"/>
      <c r="Y382" s="277"/>
      <c r="Z382" s="277"/>
      <c r="AA382" s="277"/>
      <c r="AB382" s="277"/>
      <c r="AC382" s="277"/>
      <c r="AD382" s="277"/>
      <c r="AE382" s="277"/>
      <c r="AF382" s="277"/>
      <c r="AG382" s="277"/>
      <c r="AH382" s="277"/>
      <c r="AI382" s="277"/>
      <c r="AJ382" s="277"/>
      <c r="AK382" s="277"/>
      <c r="AL382" s="277"/>
      <c r="AM382" s="277"/>
      <c r="AN382" s="277"/>
      <c r="AO382" s="277"/>
      <c r="AP382" s="277"/>
      <c r="AQ382" s="277"/>
      <c r="AR382" s="277"/>
      <c r="AS382" s="277"/>
      <c r="AT382" s="277"/>
      <c r="AU382" s="277"/>
      <c r="BW382" s="225"/>
      <c r="BX382" s="225"/>
      <c r="BY382" s="225"/>
      <c r="BZ382" s="225"/>
      <c r="CA382" s="225"/>
      <c r="CB382" s="225"/>
      <c r="CC382" s="225"/>
      <c r="CD382" s="225"/>
      <c r="CE382" s="225"/>
      <c r="CF382" s="225"/>
      <c r="CG382" s="225"/>
      <c r="CH382" s="225"/>
      <c r="CI382" s="225"/>
      <c r="CJ382" s="225"/>
      <c r="CK382" s="225"/>
      <c r="CL382" s="225"/>
      <c r="CM382" s="225"/>
      <c r="CN382" s="225"/>
      <c r="CO382" s="225"/>
      <c r="CP382" s="225"/>
      <c r="CQ382" s="225"/>
      <c r="CR382" s="225"/>
      <c r="CS382" s="225"/>
      <c r="CT382" s="225"/>
      <c r="CU382" s="225"/>
      <c r="CV382" s="225"/>
      <c r="CW382" s="225"/>
      <c r="CX382" s="225"/>
      <c r="CY382" s="225"/>
      <c r="CZ382" s="225"/>
      <c r="DA382" s="225"/>
      <c r="DB382" s="225"/>
      <c r="DC382" s="225"/>
      <c r="DD382" s="225"/>
      <c r="DE382" s="225"/>
      <c r="DF382" s="225"/>
      <c r="DG382" s="225"/>
      <c r="DH382" s="225"/>
      <c r="DI382" s="225"/>
      <c r="DJ382" s="225"/>
      <c r="DK382" s="225"/>
      <c r="DL382" s="225"/>
      <c r="DM382" s="225"/>
      <c r="DN382" s="225"/>
      <c r="DO382" s="225"/>
      <c r="DP382" s="225"/>
      <c r="DQ382" s="225"/>
    </row>
    <row r="383" spans="10:121" ht="12" customHeight="1">
      <c r="J383" s="312"/>
      <c r="K383" s="313"/>
      <c r="L383" s="313"/>
      <c r="M383" s="315"/>
      <c r="N383" s="277"/>
      <c r="O383" s="277"/>
      <c r="P383" s="277"/>
      <c r="Q383" s="277"/>
      <c r="R383" s="277"/>
      <c r="S383" s="277"/>
      <c r="T383" s="277"/>
      <c r="U383" s="277"/>
      <c r="V383" s="277"/>
      <c r="W383" s="277"/>
      <c r="X383" s="277"/>
      <c r="Y383" s="277"/>
      <c r="Z383" s="277"/>
      <c r="AA383" s="277"/>
      <c r="AB383" s="277"/>
      <c r="AC383" s="277"/>
      <c r="AD383" s="277"/>
      <c r="AE383" s="277"/>
      <c r="AF383" s="277"/>
      <c r="AG383" s="277"/>
      <c r="AH383" s="277"/>
      <c r="AI383" s="277"/>
      <c r="AJ383" s="277"/>
      <c r="AK383" s="277"/>
      <c r="AL383" s="277"/>
      <c r="AM383" s="277"/>
      <c r="AN383" s="277"/>
      <c r="AO383" s="277"/>
      <c r="AP383" s="277"/>
      <c r="AQ383" s="277"/>
      <c r="AR383" s="277"/>
      <c r="AS383" s="277"/>
      <c r="AT383" s="277"/>
      <c r="AU383" s="277"/>
      <c r="BW383" s="225"/>
      <c r="BX383" s="225"/>
      <c r="BY383" s="225"/>
      <c r="BZ383" s="225"/>
      <c r="CA383" s="225"/>
      <c r="CB383" s="225"/>
      <c r="CC383" s="225"/>
      <c r="CD383" s="225"/>
      <c r="CE383" s="225"/>
      <c r="CF383" s="225"/>
      <c r="CG383" s="225"/>
      <c r="CH383" s="225"/>
      <c r="CI383" s="225"/>
      <c r="CJ383" s="225"/>
      <c r="CK383" s="225"/>
      <c r="CL383" s="225"/>
      <c r="CM383" s="225"/>
      <c r="CN383" s="225"/>
      <c r="CO383" s="225"/>
      <c r="CP383" s="225"/>
      <c r="CQ383" s="225"/>
      <c r="CR383" s="225"/>
      <c r="CS383" s="225"/>
      <c r="CT383" s="225"/>
      <c r="CU383" s="225"/>
      <c r="CV383" s="225"/>
      <c r="CW383" s="225"/>
      <c r="CX383" s="225"/>
      <c r="CY383" s="225"/>
      <c r="CZ383" s="225"/>
      <c r="DA383" s="225"/>
      <c r="DB383" s="225"/>
      <c r="DC383" s="225"/>
      <c r="DD383" s="225"/>
      <c r="DE383" s="225"/>
      <c r="DF383" s="225"/>
      <c r="DG383" s="225"/>
      <c r="DH383" s="225"/>
      <c r="DI383" s="225"/>
      <c r="DJ383" s="225"/>
      <c r="DK383" s="225"/>
      <c r="DL383" s="225"/>
      <c r="DM383" s="225"/>
      <c r="DN383" s="225"/>
      <c r="DO383" s="225"/>
      <c r="DP383" s="225"/>
      <c r="DQ383" s="225"/>
    </row>
    <row r="384" spans="10:121" ht="12" customHeight="1">
      <c r="J384" s="312"/>
      <c r="K384" s="313"/>
      <c r="L384" s="313"/>
      <c r="M384" s="313"/>
      <c r="N384" s="277"/>
      <c r="O384" s="277"/>
      <c r="P384" s="277"/>
      <c r="Q384" s="277"/>
      <c r="R384" s="277"/>
      <c r="S384" s="277"/>
      <c r="T384" s="277"/>
      <c r="U384" s="277"/>
      <c r="V384" s="277"/>
      <c r="W384" s="277"/>
      <c r="X384" s="277"/>
      <c r="Y384" s="277"/>
      <c r="Z384" s="277"/>
      <c r="AA384" s="277"/>
      <c r="AB384" s="277"/>
      <c r="AC384" s="277"/>
      <c r="AD384" s="277"/>
      <c r="AE384" s="277"/>
      <c r="AF384" s="277"/>
      <c r="AG384" s="277"/>
      <c r="AH384" s="277"/>
      <c r="AI384" s="277"/>
      <c r="AJ384" s="277"/>
      <c r="AK384" s="277"/>
      <c r="AL384" s="277"/>
      <c r="AM384" s="277"/>
      <c r="AN384" s="277"/>
      <c r="AO384" s="277"/>
      <c r="AP384" s="277"/>
      <c r="AQ384" s="277"/>
      <c r="AR384" s="277"/>
      <c r="AS384" s="277"/>
      <c r="AT384" s="277"/>
      <c r="AU384" s="277"/>
      <c r="BW384" s="225"/>
      <c r="BX384" s="225"/>
      <c r="BY384" s="225"/>
      <c r="BZ384" s="225"/>
      <c r="CA384" s="225"/>
      <c r="CB384" s="225"/>
      <c r="CC384" s="225"/>
      <c r="CD384" s="225"/>
      <c r="CE384" s="225"/>
      <c r="CF384" s="225"/>
      <c r="CG384" s="225"/>
      <c r="CH384" s="225"/>
      <c r="CI384" s="225"/>
      <c r="CJ384" s="225"/>
      <c r="CK384" s="225"/>
      <c r="CL384" s="225"/>
      <c r="CM384" s="225"/>
      <c r="CN384" s="225"/>
      <c r="CO384" s="225"/>
      <c r="CP384" s="225"/>
      <c r="CQ384" s="225"/>
      <c r="CR384" s="225"/>
      <c r="CS384" s="225"/>
      <c r="CT384" s="225"/>
      <c r="CU384" s="225"/>
      <c r="CV384" s="225"/>
      <c r="CW384" s="225"/>
      <c r="CX384" s="225"/>
      <c r="CY384" s="225"/>
      <c r="CZ384" s="225"/>
      <c r="DA384" s="225"/>
      <c r="DB384" s="225"/>
      <c r="DC384" s="225"/>
      <c r="DD384" s="225"/>
      <c r="DE384" s="225"/>
      <c r="DF384" s="225"/>
      <c r="DG384" s="225"/>
      <c r="DH384" s="225"/>
      <c r="DI384" s="225"/>
      <c r="DJ384" s="225"/>
      <c r="DK384" s="225"/>
      <c r="DL384" s="225"/>
      <c r="DM384" s="225"/>
      <c r="DN384" s="225"/>
      <c r="DO384" s="225"/>
      <c r="DP384" s="225"/>
      <c r="DQ384" s="225"/>
    </row>
    <row r="385" spans="10:121" ht="12" customHeight="1">
      <c r="J385" s="312"/>
      <c r="K385" s="313"/>
      <c r="L385" s="313"/>
      <c r="M385" s="313"/>
      <c r="N385" s="277"/>
      <c r="O385" s="277"/>
      <c r="P385" s="277"/>
      <c r="Q385" s="277"/>
      <c r="R385" s="277"/>
      <c r="S385" s="277"/>
      <c r="T385" s="277"/>
      <c r="U385" s="277"/>
      <c r="V385" s="277"/>
      <c r="W385" s="277"/>
      <c r="X385" s="277"/>
      <c r="Y385" s="277"/>
      <c r="Z385" s="277"/>
      <c r="AA385" s="277"/>
      <c r="AB385" s="277"/>
      <c r="AC385" s="277"/>
      <c r="AD385" s="277"/>
      <c r="AE385" s="277"/>
      <c r="AF385" s="277"/>
      <c r="AG385" s="277"/>
      <c r="AH385" s="277"/>
      <c r="AI385" s="277"/>
      <c r="AJ385" s="277"/>
      <c r="AK385" s="277"/>
      <c r="AL385" s="277"/>
      <c r="AM385" s="277"/>
      <c r="AN385" s="277"/>
      <c r="AO385" s="277"/>
      <c r="AP385" s="277"/>
      <c r="AQ385" s="277"/>
      <c r="AR385" s="277"/>
      <c r="AS385" s="277"/>
      <c r="AT385" s="277"/>
      <c r="AU385" s="277"/>
      <c r="BW385" s="225"/>
      <c r="BX385" s="225"/>
      <c r="BY385" s="225"/>
      <c r="BZ385" s="225"/>
      <c r="CA385" s="225"/>
      <c r="CB385" s="225"/>
      <c r="CC385" s="225"/>
      <c r="CD385" s="225"/>
      <c r="CE385" s="225"/>
      <c r="CF385" s="225"/>
      <c r="CG385" s="225"/>
      <c r="CH385" s="225"/>
      <c r="CI385" s="225"/>
      <c r="CJ385" s="225"/>
      <c r="CK385" s="225"/>
      <c r="CL385" s="225"/>
      <c r="CM385" s="225"/>
      <c r="CN385" s="225"/>
      <c r="CO385" s="225"/>
      <c r="CP385" s="225"/>
      <c r="CQ385" s="225"/>
      <c r="CR385" s="225"/>
      <c r="CS385" s="225"/>
      <c r="CT385" s="225"/>
      <c r="CU385" s="225"/>
      <c r="CV385" s="225"/>
      <c r="CW385" s="225"/>
      <c r="CX385" s="225"/>
      <c r="CY385" s="225"/>
      <c r="CZ385" s="225"/>
      <c r="DA385" s="225"/>
      <c r="DB385" s="225"/>
      <c r="DC385" s="225"/>
      <c r="DD385" s="225"/>
      <c r="DE385" s="225"/>
      <c r="DF385" s="225"/>
      <c r="DG385" s="225"/>
      <c r="DH385" s="225"/>
      <c r="DI385" s="225"/>
      <c r="DJ385" s="225"/>
      <c r="DK385" s="225"/>
      <c r="DL385" s="225"/>
      <c r="DM385" s="225"/>
      <c r="DN385" s="225"/>
      <c r="DO385" s="225"/>
      <c r="DP385" s="225"/>
      <c r="DQ385" s="225"/>
    </row>
    <row r="386" spans="10:121" ht="12" customHeight="1">
      <c r="J386" s="312"/>
      <c r="K386" s="313"/>
      <c r="L386" s="313"/>
      <c r="M386" s="313"/>
      <c r="N386" s="277"/>
      <c r="O386" s="277"/>
      <c r="P386" s="277"/>
      <c r="Q386" s="277"/>
      <c r="R386" s="277"/>
      <c r="S386" s="277"/>
      <c r="T386" s="277"/>
      <c r="U386" s="277"/>
      <c r="V386" s="277"/>
      <c r="W386" s="277"/>
      <c r="X386" s="277"/>
      <c r="Y386" s="277"/>
      <c r="Z386" s="277"/>
      <c r="AA386" s="277"/>
      <c r="AB386" s="277"/>
      <c r="AC386" s="277"/>
      <c r="AD386" s="277"/>
      <c r="AE386" s="277"/>
      <c r="AF386" s="277"/>
      <c r="AG386" s="277"/>
      <c r="AH386" s="277"/>
      <c r="AI386" s="277"/>
      <c r="AJ386" s="277"/>
      <c r="AK386" s="277"/>
      <c r="AL386" s="277"/>
      <c r="AM386" s="277"/>
      <c r="AN386" s="277"/>
      <c r="AO386" s="277"/>
      <c r="AP386" s="277"/>
      <c r="AQ386" s="277"/>
      <c r="AR386" s="277"/>
      <c r="AS386" s="277"/>
      <c r="AT386" s="277"/>
      <c r="AU386" s="277"/>
      <c r="BW386" s="225"/>
      <c r="BX386" s="225"/>
      <c r="BY386" s="225"/>
      <c r="BZ386" s="225"/>
      <c r="CA386" s="225"/>
      <c r="CB386" s="225"/>
      <c r="CC386" s="225"/>
      <c r="CD386" s="225"/>
      <c r="CE386" s="225"/>
      <c r="CF386" s="225"/>
      <c r="CG386" s="225"/>
      <c r="CH386" s="225"/>
      <c r="CI386" s="225"/>
      <c r="CJ386" s="225"/>
      <c r="CK386" s="225"/>
      <c r="CL386" s="225"/>
      <c r="CM386" s="225"/>
      <c r="CN386" s="225"/>
      <c r="CO386" s="225"/>
      <c r="CP386" s="225"/>
      <c r="CQ386" s="225"/>
      <c r="CR386" s="225"/>
      <c r="CS386" s="225"/>
      <c r="CT386" s="225"/>
      <c r="CU386" s="225"/>
      <c r="CV386" s="225"/>
      <c r="CW386" s="225"/>
      <c r="CX386" s="225"/>
      <c r="CY386" s="225"/>
      <c r="CZ386" s="225"/>
      <c r="DA386" s="225"/>
      <c r="DB386" s="225"/>
      <c r="DC386" s="225"/>
      <c r="DD386" s="225"/>
      <c r="DE386" s="225"/>
      <c r="DF386" s="225"/>
      <c r="DG386" s="225"/>
      <c r="DH386" s="225"/>
      <c r="DI386" s="225"/>
      <c r="DJ386" s="225"/>
      <c r="DK386" s="225"/>
      <c r="DL386" s="225"/>
      <c r="DM386" s="225"/>
      <c r="DN386" s="225"/>
      <c r="DO386" s="225"/>
      <c r="DP386" s="225"/>
      <c r="DQ386" s="225"/>
    </row>
    <row r="387" spans="10:121" ht="12" customHeight="1">
      <c r="J387" s="312"/>
      <c r="K387" s="313"/>
      <c r="L387" s="313"/>
      <c r="M387" s="313"/>
      <c r="N387" s="277"/>
      <c r="O387" s="277"/>
      <c r="P387" s="277"/>
      <c r="Q387" s="277"/>
      <c r="R387" s="277"/>
      <c r="S387" s="277"/>
      <c r="T387" s="277"/>
      <c r="U387" s="277"/>
      <c r="V387" s="277"/>
      <c r="W387" s="277"/>
      <c r="X387" s="277"/>
      <c r="Y387" s="277"/>
      <c r="Z387" s="277"/>
      <c r="AA387" s="277"/>
      <c r="AB387" s="277"/>
      <c r="AC387" s="277"/>
      <c r="AD387" s="277"/>
      <c r="AE387" s="277"/>
      <c r="AF387" s="277"/>
      <c r="AG387" s="277"/>
      <c r="AH387" s="277"/>
      <c r="AI387" s="277"/>
      <c r="AJ387" s="277"/>
      <c r="AK387" s="277"/>
      <c r="AL387" s="277"/>
      <c r="AM387" s="277"/>
      <c r="AN387" s="277"/>
      <c r="AO387" s="277"/>
      <c r="AP387" s="277"/>
      <c r="AQ387" s="277"/>
      <c r="AR387" s="277"/>
      <c r="AS387" s="277"/>
      <c r="AT387" s="277"/>
      <c r="AU387" s="277"/>
      <c r="BW387" s="225"/>
      <c r="BX387" s="225"/>
      <c r="BY387" s="225"/>
      <c r="BZ387" s="225"/>
      <c r="CA387" s="225"/>
      <c r="CB387" s="225"/>
      <c r="CC387" s="225"/>
      <c r="CD387" s="225"/>
      <c r="CE387" s="225"/>
      <c r="CF387" s="225"/>
      <c r="CG387" s="225"/>
      <c r="CH387" s="225"/>
      <c r="CI387" s="225"/>
      <c r="CJ387" s="225"/>
      <c r="CK387" s="225"/>
      <c r="CL387" s="225"/>
      <c r="CM387" s="225"/>
      <c r="CN387" s="225"/>
      <c r="CO387" s="225"/>
      <c r="CP387" s="225"/>
      <c r="CQ387" s="225"/>
      <c r="CR387" s="225"/>
      <c r="CS387" s="225"/>
      <c r="CT387" s="225"/>
      <c r="CU387" s="225"/>
      <c r="CV387" s="225"/>
      <c r="CW387" s="225"/>
      <c r="CX387" s="225"/>
      <c r="CY387" s="225"/>
      <c r="CZ387" s="225"/>
      <c r="DA387" s="225"/>
      <c r="DB387" s="225"/>
      <c r="DC387" s="225"/>
      <c r="DD387" s="225"/>
      <c r="DE387" s="225"/>
      <c r="DF387" s="225"/>
      <c r="DG387" s="225"/>
      <c r="DH387" s="225"/>
      <c r="DI387" s="225"/>
      <c r="DJ387" s="225"/>
      <c r="DK387" s="225"/>
      <c r="DL387" s="225"/>
      <c r="DM387" s="225"/>
      <c r="DN387" s="225"/>
      <c r="DO387" s="225"/>
      <c r="DP387" s="225"/>
      <c r="DQ387" s="225"/>
    </row>
    <row r="388" spans="10:121" ht="12" customHeight="1">
      <c r="J388" s="312"/>
      <c r="K388" s="313"/>
      <c r="L388" s="313"/>
      <c r="M388" s="313"/>
      <c r="N388" s="277"/>
      <c r="O388" s="277"/>
      <c r="P388" s="277"/>
      <c r="Q388" s="277"/>
      <c r="R388" s="277"/>
      <c r="S388" s="277"/>
      <c r="T388" s="277"/>
      <c r="U388" s="277"/>
      <c r="V388" s="277"/>
      <c r="W388" s="277"/>
      <c r="X388" s="277"/>
      <c r="Y388" s="277"/>
      <c r="Z388" s="277"/>
      <c r="AA388" s="277"/>
      <c r="AB388" s="277"/>
      <c r="AC388" s="277"/>
      <c r="AD388" s="277"/>
      <c r="AE388" s="277"/>
      <c r="AF388" s="277"/>
      <c r="AG388" s="277"/>
      <c r="AH388" s="277"/>
      <c r="AI388" s="277"/>
      <c r="AJ388" s="277"/>
      <c r="AK388" s="277"/>
      <c r="AL388" s="277"/>
      <c r="AM388" s="277"/>
      <c r="AN388" s="277"/>
      <c r="AO388" s="277"/>
      <c r="AP388" s="277"/>
      <c r="AQ388" s="277"/>
      <c r="AR388" s="277"/>
      <c r="AS388" s="277"/>
      <c r="AT388" s="277"/>
      <c r="AU388" s="277"/>
      <c r="BW388" s="225"/>
      <c r="BX388" s="225"/>
      <c r="BY388" s="225"/>
      <c r="BZ388" s="225"/>
      <c r="CA388" s="225"/>
      <c r="CB388" s="225"/>
      <c r="CC388" s="225"/>
      <c r="CD388" s="225"/>
      <c r="CE388" s="225"/>
      <c r="CF388" s="225"/>
      <c r="CG388" s="225"/>
      <c r="CH388" s="225"/>
      <c r="CI388" s="225"/>
      <c r="CJ388" s="225"/>
      <c r="CK388" s="225"/>
      <c r="CL388" s="225"/>
      <c r="CM388" s="225"/>
      <c r="CN388" s="225"/>
      <c r="CO388" s="225"/>
      <c r="CP388" s="225"/>
      <c r="CQ388" s="225"/>
      <c r="CR388" s="225"/>
      <c r="CS388" s="225"/>
      <c r="CT388" s="225"/>
      <c r="CU388" s="225"/>
      <c r="CV388" s="225"/>
      <c r="CW388" s="225"/>
      <c r="CX388" s="225"/>
      <c r="CY388" s="225"/>
      <c r="CZ388" s="225"/>
      <c r="DA388" s="225"/>
      <c r="DB388" s="225"/>
      <c r="DC388" s="225"/>
      <c r="DD388" s="225"/>
      <c r="DE388" s="225"/>
      <c r="DF388" s="225"/>
      <c r="DG388" s="225"/>
      <c r="DH388" s="225"/>
      <c r="DI388" s="225"/>
      <c r="DJ388" s="225"/>
      <c r="DK388" s="225"/>
      <c r="DL388" s="225"/>
      <c r="DM388" s="225"/>
      <c r="DN388" s="225"/>
      <c r="DO388" s="225"/>
      <c r="DP388" s="225"/>
      <c r="DQ388" s="225"/>
    </row>
    <row r="389" spans="10:121" ht="12" customHeight="1">
      <c r="J389" s="312"/>
      <c r="K389" s="313"/>
      <c r="L389" s="313"/>
      <c r="M389" s="313"/>
      <c r="N389" s="277"/>
      <c r="O389" s="277"/>
      <c r="P389" s="277"/>
      <c r="Q389" s="277"/>
      <c r="R389" s="277"/>
      <c r="S389" s="277"/>
      <c r="T389" s="277"/>
      <c r="U389" s="277"/>
      <c r="V389" s="277"/>
      <c r="W389" s="277"/>
      <c r="X389" s="277"/>
      <c r="Y389" s="277"/>
      <c r="Z389" s="277"/>
      <c r="AA389" s="277"/>
      <c r="AB389" s="277"/>
      <c r="AC389" s="277"/>
      <c r="AD389" s="277"/>
      <c r="AE389" s="277"/>
      <c r="AF389" s="277"/>
      <c r="AG389" s="277"/>
      <c r="AH389" s="277"/>
      <c r="AI389" s="277"/>
      <c r="AJ389" s="277"/>
      <c r="AK389" s="277"/>
      <c r="AL389" s="277"/>
      <c r="AM389" s="277"/>
      <c r="AN389" s="277"/>
      <c r="AO389" s="277"/>
      <c r="AP389" s="277"/>
      <c r="AQ389" s="277"/>
      <c r="AR389" s="277"/>
      <c r="AS389" s="277"/>
      <c r="AT389" s="277"/>
      <c r="AU389" s="277"/>
      <c r="BW389" s="225"/>
      <c r="BX389" s="225"/>
      <c r="BY389" s="225"/>
      <c r="BZ389" s="225"/>
      <c r="CA389" s="225"/>
      <c r="CB389" s="225"/>
      <c r="CC389" s="225"/>
      <c r="CD389" s="225"/>
      <c r="CE389" s="225"/>
      <c r="CF389" s="225"/>
      <c r="CG389" s="225"/>
      <c r="CH389" s="225"/>
      <c r="CI389" s="225"/>
      <c r="CJ389" s="225"/>
      <c r="CK389" s="225"/>
      <c r="CL389" s="225"/>
      <c r="CM389" s="225"/>
      <c r="CN389" s="225"/>
      <c r="CO389" s="225"/>
      <c r="CP389" s="225"/>
      <c r="CQ389" s="225"/>
      <c r="CR389" s="225"/>
      <c r="CS389" s="225"/>
      <c r="CT389" s="225"/>
      <c r="CU389" s="225"/>
      <c r="CV389" s="225"/>
      <c r="CW389" s="225"/>
      <c r="CX389" s="225"/>
      <c r="CY389" s="225"/>
      <c r="CZ389" s="225"/>
      <c r="DA389" s="225"/>
      <c r="DB389" s="225"/>
      <c r="DC389" s="225"/>
      <c r="DD389" s="225"/>
      <c r="DE389" s="225"/>
      <c r="DF389" s="225"/>
      <c r="DG389" s="225"/>
      <c r="DH389" s="225"/>
      <c r="DI389" s="225"/>
      <c r="DJ389" s="225"/>
      <c r="DK389" s="225"/>
      <c r="DL389" s="225"/>
      <c r="DM389" s="225"/>
      <c r="DN389" s="225"/>
      <c r="DO389" s="225"/>
      <c r="DP389" s="225"/>
      <c r="DQ389" s="225"/>
    </row>
    <row r="390" spans="10:121" ht="12" customHeight="1">
      <c r="J390" s="312"/>
      <c r="K390" s="313"/>
      <c r="L390" s="313"/>
      <c r="M390" s="313"/>
      <c r="N390" s="277"/>
      <c r="O390" s="277"/>
      <c r="P390" s="277"/>
      <c r="Q390" s="277"/>
      <c r="R390" s="277"/>
      <c r="S390" s="277"/>
      <c r="T390" s="277"/>
      <c r="U390" s="277"/>
      <c r="V390" s="277"/>
      <c r="W390" s="277"/>
      <c r="X390" s="277"/>
      <c r="Y390" s="277"/>
      <c r="Z390" s="277"/>
      <c r="AA390" s="277"/>
      <c r="AB390" s="277"/>
      <c r="AC390" s="277"/>
      <c r="AD390" s="277"/>
      <c r="AE390" s="277"/>
      <c r="AF390" s="277"/>
      <c r="AG390" s="277"/>
      <c r="AH390" s="277"/>
      <c r="AI390" s="277"/>
      <c r="AJ390" s="277"/>
      <c r="AK390" s="277"/>
      <c r="AL390" s="277"/>
      <c r="AM390" s="277"/>
      <c r="AN390" s="277"/>
      <c r="AO390" s="277"/>
      <c r="AP390" s="277"/>
      <c r="AQ390" s="277"/>
      <c r="AR390" s="277"/>
      <c r="AS390" s="277"/>
      <c r="AT390" s="277"/>
      <c r="AU390" s="277"/>
      <c r="BW390" s="225"/>
      <c r="BX390" s="225"/>
      <c r="BY390" s="225"/>
      <c r="BZ390" s="225"/>
      <c r="CA390" s="225"/>
      <c r="CB390" s="225"/>
      <c r="CC390" s="225"/>
      <c r="CD390" s="225"/>
      <c r="CE390" s="225"/>
      <c r="CF390" s="225"/>
      <c r="CG390" s="225"/>
      <c r="CH390" s="225"/>
      <c r="CI390" s="225"/>
      <c r="CJ390" s="225"/>
      <c r="CK390" s="225"/>
      <c r="CL390" s="225"/>
      <c r="CM390" s="225"/>
      <c r="CN390" s="225"/>
      <c r="CO390" s="225"/>
      <c r="CP390" s="225"/>
      <c r="CQ390" s="225"/>
      <c r="CR390" s="225"/>
      <c r="CS390" s="225"/>
      <c r="CT390" s="225"/>
      <c r="CU390" s="225"/>
      <c r="CV390" s="225"/>
      <c r="CW390" s="225"/>
      <c r="CX390" s="225"/>
      <c r="CY390" s="225"/>
      <c r="CZ390" s="225"/>
      <c r="DA390" s="225"/>
      <c r="DB390" s="225"/>
      <c r="DC390" s="225"/>
      <c r="DD390" s="225"/>
      <c r="DE390" s="225"/>
      <c r="DF390" s="225"/>
      <c r="DG390" s="225"/>
      <c r="DH390" s="225"/>
      <c r="DI390" s="225"/>
      <c r="DJ390" s="225"/>
      <c r="DK390" s="225"/>
      <c r="DL390" s="225"/>
      <c r="DM390" s="225"/>
      <c r="DN390" s="225"/>
      <c r="DO390" s="225"/>
      <c r="DP390" s="225"/>
      <c r="DQ390" s="225"/>
    </row>
    <row r="391" spans="10:121" ht="12" customHeight="1">
      <c r="J391" s="311"/>
      <c r="K391" s="40"/>
      <c r="L391" s="277"/>
      <c r="M391" s="277"/>
      <c r="N391" s="277"/>
      <c r="O391" s="277"/>
      <c r="P391" s="277"/>
      <c r="Q391" s="277"/>
      <c r="R391" s="277"/>
      <c r="S391" s="277"/>
      <c r="T391" s="277"/>
      <c r="U391" s="277"/>
      <c r="V391" s="277"/>
      <c r="W391" s="277"/>
      <c r="X391" s="277"/>
      <c r="Y391" s="277"/>
      <c r="Z391" s="277"/>
      <c r="AA391" s="277"/>
      <c r="AB391" s="277"/>
      <c r="AC391" s="277"/>
      <c r="AD391" s="277"/>
      <c r="AE391" s="277"/>
      <c r="AF391" s="277"/>
      <c r="AG391" s="277"/>
      <c r="AH391" s="277"/>
      <c r="AI391" s="277"/>
      <c r="AJ391" s="277"/>
      <c r="AK391" s="277"/>
      <c r="AL391" s="277"/>
      <c r="AM391" s="277"/>
      <c r="AN391" s="277"/>
      <c r="AO391" s="277"/>
      <c r="AP391" s="277"/>
      <c r="AQ391" s="277"/>
      <c r="AR391" s="277"/>
      <c r="AS391" s="277"/>
      <c r="AT391" s="277"/>
      <c r="AU391" s="277"/>
      <c r="BW391" s="225"/>
      <c r="BX391" s="225"/>
      <c r="BY391" s="225"/>
      <c r="BZ391" s="225"/>
      <c r="CA391" s="225"/>
      <c r="CB391" s="225"/>
      <c r="CC391" s="225"/>
      <c r="CD391" s="225"/>
      <c r="CE391" s="225"/>
      <c r="CF391" s="225"/>
      <c r="CG391" s="225"/>
      <c r="CH391" s="225"/>
      <c r="CI391" s="225"/>
      <c r="CJ391" s="225"/>
      <c r="CK391" s="225"/>
      <c r="CL391" s="225"/>
      <c r="CM391" s="225"/>
      <c r="CN391" s="225"/>
      <c r="CO391" s="225"/>
      <c r="CP391" s="225"/>
      <c r="CQ391" s="225"/>
      <c r="CR391" s="225"/>
      <c r="CS391" s="225"/>
      <c r="CT391" s="225"/>
      <c r="CU391" s="225"/>
      <c r="CV391" s="225"/>
      <c r="CW391" s="225"/>
      <c r="CX391" s="225"/>
      <c r="CY391" s="225"/>
      <c r="CZ391" s="225"/>
      <c r="DA391" s="225"/>
      <c r="DB391" s="225"/>
      <c r="DC391" s="225"/>
      <c r="DD391" s="225"/>
      <c r="DE391" s="225"/>
      <c r="DF391" s="225"/>
      <c r="DG391" s="225"/>
      <c r="DH391" s="225"/>
      <c r="DI391" s="225"/>
      <c r="DJ391" s="225"/>
      <c r="DK391" s="225"/>
      <c r="DL391" s="225"/>
      <c r="DM391" s="225"/>
      <c r="DN391" s="225"/>
      <c r="DO391" s="225"/>
      <c r="DP391" s="225"/>
      <c r="DQ391" s="225"/>
    </row>
    <row r="392" spans="10:121" ht="12" customHeight="1">
      <c r="J392" s="312"/>
      <c r="K392" s="313"/>
      <c r="L392" s="313"/>
      <c r="M392" s="313"/>
      <c r="N392" s="277"/>
      <c r="O392" s="277"/>
      <c r="P392" s="277"/>
      <c r="Q392" s="277"/>
      <c r="R392" s="277"/>
      <c r="S392" s="277"/>
      <c r="T392" s="277"/>
      <c r="U392" s="277"/>
      <c r="V392" s="277"/>
      <c r="W392" s="277"/>
      <c r="X392" s="277"/>
      <c r="Y392" s="277"/>
      <c r="Z392" s="277"/>
      <c r="AA392" s="277"/>
      <c r="AB392" s="277"/>
      <c r="AC392" s="277"/>
      <c r="AD392" s="277"/>
      <c r="AE392" s="277"/>
      <c r="AF392" s="277"/>
      <c r="AG392" s="277"/>
      <c r="AH392" s="277"/>
      <c r="AI392" s="277"/>
      <c r="AJ392" s="277"/>
      <c r="AK392" s="277"/>
      <c r="AL392" s="277"/>
      <c r="AM392" s="277"/>
      <c r="AN392" s="277"/>
      <c r="AO392" s="277"/>
      <c r="AP392" s="277"/>
      <c r="AQ392" s="277"/>
      <c r="AR392" s="277"/>
      <c r="AS392" s="277"/>
      <c r="AT392" s="277"/>
      <c r="AU392" s="277"/>
      <c r="BW392" s="225"/>
      <c r="BX392" s="225"/>
      <c r="BY392" s="225"/>
      <c r="BZ392" s="225"/>
      <c r="CA392" s="225"/>
      <c r="CB392" s="225"/>
      <c r="CC392" s="225"/>
      <c r="CD392" s="225"/>
      <c r="CE392" s="225"/>
      <c r="CF392" s="225"/>
      <c r="CG392" s="225"/>
      <c r="CH392" s="225"/>
      <c r="CI392" s="225"/>
      <c r="CJ392" s="225"/>
      <c r="CK392" s="225"/>
      <c r="CL392" s="225"/>
      <c r="CM392" s="225"/>
      <c r="CN392" s="225"/>
      <c r="CO392" s="225"/>
      <c r="CP392" s="225"/>
      <c r="CQ392" s="225"/>
      <c r="CR392" s="225"/>
      <c r="CS392" s="225"/>
      <c r="CT392" s="225"/>
      <c r="CU392" s="225"/>
      <c r="CV392" s="225"/>
      <c r="CW392" s="225"/>
      <c r="CX392" s="225"/>
      <c r="CY392" s="225"/>
      <c r="CZ392" s="225"/>
      <c r="DA392" s="225"/>
      <c r="DB392" s="225"/>
      <c r="DC392" s="225"/>
      <c r="DD392" s="225"/>
      <c r="DE392" s="225"/>
      <c r="DF392" s="225"/>
      <c r="DG392" s="225"/>
      <c r="DH392" s="225"/>
      <c r="DI392" s="225"/>
      <c r="DJ392" s="225"/>
      <c r="DK392" s="225"/>
      <c r="DL392" s="225"/>
      <c r="DM392" s="225"/>
      <c r="DN392" s="225"/>
      <c r="DO392" s="225"/>
      <c r="DP392" s="225"/>
      <c r="DQ392" s="225"/>
    </row>
    <row r="393" spans="10:121" ht="12" customHeight="1">
      <c r="J393" s="312"/>
      <c r="K393" s="313"/>
      <c r="L393" s="313"/>
      <c r="M393" s="313"/>
      <c r="N393" s="277"/>
      <c r="O393" s="277"/>
      <c r="P393" s="277"/>
      <c r="Q393" s="277"/>
      <c r="R393" s="277"/>
      <c r="S393" s="277"/>
      <c r="T393" s="277"/>
      <c r="U393" s="277"/>
      <c r="V393" s="277"/>
      <c r="W393" s="277"/>
      <c r="X393" s="277"/>
      <c r="Y393" s="277"/>
      <c r="Z393" s="277"/>
      <c r="AA393" s="277"/>
      <c r="AB393" s="277"/>
      <c r="AC393" s="277"/>
      <c r="AD393" s="277"/>
      <c r="AE393" s="277"/>
      <c r="AF393" s="277"/>
      <c r="AG393" s="277"/>
      <c r="AH393" s="277"/>
      <c r="AI393" s="277"/>
      <c r="AJ393" s="277"/>
      <c r="AK393" s="277"/>
      <c r="AL393" s="277"/>
      <c r="AM393" s="277"/>
      <c r="AN393" s="277"/>
      <c r="AO393" s="277"/>
      <c r="AP393" s="277"/>
      <c r="AQ393" s="277"/>
      <c r="AR393" s="277"/>
      <c r="AS393" s="277"/>
      <c r="AT393" s="277"/>
      <c r="AU393" s="277"/>
      <c r="BW393" s="225"/>
      <c r="BX393" s="225"/>
      <c r="BY393" s="225"/>
      <c r="BZ393" s="225"/>
      <c r="CA393" s="225"/>
      <c r="CB393" s="225"/>
      <c r="CC393" s="225"/>
      <c r="CD393" s="225"/>
      <c r="CE393" s="225"/>
      <c r="CF393" s="225"/>
      <c r="CG393" s="225"/>
      <c r="CH393" s="225"/>
      <c r="CI393" s="225"/>
      <c r="CJ393" s="225"/>
      <c r="CK393" s="225"/>
      <c r="CL393" s="225"/>
      <c r="CM393" s="225"/>
      <c r="CN393" s="225"/>
      <c r="CO393" s="225"/>
      <c r="CP393" s="225"/>
      <c r="CQ393" s="225"/>
      <c r="CR393" s="225"/>
      <c r="CS393" s="225"/>
      <c r="CT393" s="225"/>
      <c r="CU393" s="225"/>
      <c r="CV393" s="225"/>
      <c r="CW393" s="225"/>
      <c r="CX393" s="225"/>
      <c r="CY393" s="225"/>
      <c r="CZ393" s="225"/>
      <c r="DA393" s="225"/>
      <c r="DB393" s="225"/>
      <c r="DC393" s="225"/>
      <c r="DD393" s="225"/>
      <c r="DE393" s="225"/>
      <c r="DF393" s="225"/>
      <c r="DG393" s="225"/>
      <c r="DH393" s="225"/>
      <c r="DI393" s="225"/>
      <c r="DJ393" s="225"/>
      <c r="DK393" s="225"/>
      <c r="DL393" s="225"/>
      <c r="DM393" s="225"/>
      <c r="DN393" s="225"/>
      <c r="DO393" s="225"/>
      <c r="DP393" s="225"/>
      <c r="DQ393" s="225"/>
    </row>
    <row r="394" spans="10:121" ht="12" customHeight="1">
      <c r="J394" s="312"/>
      <c r="K394" s="313"/>
      <c r="L394" s="313"/>
      <c r="M394" s="313"/>
      <c r="N394" s="277"/>
      <c r="O394" s="277"/>
      <c r="P394" s="277"/>
      <c r="Q394" s="277"/>
      <c r="R394" s="277"/>
      <c r="S394" s="277"/>
      <c r="T394" s="277"/>
      <c r="U394" s="277"/>
      <c r="V394" s="277"/>
      <c r="W394" s="277"/>
      <c r="X394" s="277"/>
      <c r="Y394" s="277"/>
      <c r="Z394" s="277"/>
      <c r="AA394" s="277"/>
      <c r="AB394" s="277"/>
      <c r="AC394" s="277"/>
      <c r="AD394" s="277"/>
      <c r="AE394" s="277"/>
      <c r="AF394" s="277"/>
      <c r="AG394" s="277"/>
      <c r="AH394" s="277"/>
      <c r="AI394" s="277"/>
      <c r="AJ394" s="277"/>
      <c r="AK394" s="277"/>
      <c r="AL394" s="277"/>
      <c r="AM394" s="277"/>
      <c r="AN394" s="277"/>
      <c r="AO394" s="277"/>
      <c r="AP394" s="277"/>
      <c r="AQ394" s="277"/>
      <c r="AR394" s="277"/>
      <c r="AS394" s="277"/>
      <c r="AT394" s="277"/>
      <c r="AU394" s="277"/>
      <c r="BW394" s="225"/>
      <c r="BX394" s="225"/>
      <c r="BY394" s="225"/>
      <c r="BZ394" s="225"/>
      <c r="CA394" s="225"/>
      <c r="CB394" s="225"/>
      <c r="CC394" s="225"/>
      <c r="CD394" s="225"/>
      <c r="CE394" s="225"/>
      <c r="CF394" s="225"/>
      <c r="CG394" s="225"/>
      <c r="CH394" s="225"/>
      <c r="CI394" s="225"/>
      <c r="CJ394" s="225"/>
      <c r="CK394" s="225"/>
      <c r="CL394" s="225"/>
      <c r="CM394" s="225"/>
      <c r="CN394" s="225"/>
      <c r="CO394" s="225"/>
      <c r="CP394" s="225"/>
      <c r="CQ394" s="225"/>
      <c r="CR394" s="225"/>
      <c r="CS394" s="225"/>
      <c r="CT394" s="225"/>
      <c r="CU394" s="225"/>
      <c r="CV394" s="225"/>
      <c r="CW394" s="225"/>
      <c r="CX394" s="225"/>
      <c r="CY394" s="225"/>
      <c r="CZ394" s="225"/>
      <c r="DA394" s="225"/>
      <c r="DB394" s="225"/>
      <c r="DC394" s="225"/>
      <c r="DD394" s="225"/>
      <c r="DE394" s="225"/>
      <c r="DF394" s="225"/>
      <c r="DG394" s="225"/>
      <c r="DH394" s="225"/>
      <c r="DI394" s="225"/>
      <c r="DJ394" s="225"/>
      <c r="DK394" s="225"/>
      <c r="DL394" s="225"/>
      <c r="DM394" s="225"/>
      <c r="DN394" s="225"/>
      <c r="DO394" s="225"/>
      <c r="DP394" s="225"/>
      <c r="DQ394" s="225"/>
    </row>
    <row r="395" spans="10:121" ht="12" customHeight="1">
      <c r="J395" s="312"/>
      <c r="K395" s="313"/>
      <c r="L395" s="313"/>
      <c r="M395" s="313"/>
      <c r="N395" s="277"/>
      <c r="O395" s="277"/>
      <c r="P395" s="277"/>
      <c r="Q395" s="277"/>
      <c r="R395" s="277"/>
      <c r="S395" s="277"/>
      <c r="T395" s="277"/>
      <c r="U395" s="277"/>
      <c r="V395" s="277"/>
      <c r="W395" s="277"/>
      <c r="X395" s="277"/>
      <c r="Y395" s="277"/>
      <c r="Z395" s="277"/>
      <c r="AA395" s="277"/>
      <c r="AB395" s="277"/>
      <c r="AC395" s="277"/>
      <c r="AD395" s="277"/>
      <c r="AE395" s="277"/>
      <c r="AF395" s="277"/>
      <c r="AG395" s="277"/>
      <c r="AH395" s="277"/>
      <c r="AI395" s="277"/>
      <c r="AJ395" s="277"/>
      <c r="AK395" s="277"/>
      <c r="AL395" s="277"/>
      <c r="AM395" s="277"/>
      <c r="AN395" s="277"/>
      <c r="AO395" s="277"/>
      <c r="AP395" s="277"/>
      <c r="AQ395" s="277"/>
      <c r="AR395" s="277"/>
      <c r="AS395" s="277"/>
      <c r="AT395" s="277"/>
      <c r="AU395" s="277"/>
      <c r="BW395" s="225"/>
      <c r="BX395" s="225"/>
      <c r="BY395" s="225"/>
      <c r="BZ395" s="225"/>
      <c r="CA395" s="225"/>
      <c r="CB395" s="225"/>
      <c r="CC395" s="225"/>
      <c r="CD395" s="225"/>
      <c r="CE395" s="225"/>
      <c r="CF395" s="225"/>
      <c r="CG395" s="225"/>
      <c r="CH395" s="225"/>
      <c r="CI395" s="225"/>
      <c r="CJ395" s="225"/>
      <c r="CK395" s="225"/>
      <c r="CL395" s="225"/>
      <c r="CM395" s="225"/>
      <c r="CN395" s="225"/>
      <c r="CO395" s="225"/>
      <c r="CP395" s="225"/>
      <c r="CQ395" s="225"/>
      <c r="CR395" s="225"/>
      <c r="CS395" s="225"/>
      <c r="CT395" s="225"/>
      <c r="CU395" s="225"/>
      <c r="CV395" s="225"/>
      <c r="CW395" s="225"/>
      <c r="CX395" s="225"/>
      <c r="CY395" s="225"/>
      <c r="CZ395" s="225"/>
      <c r="DA395" s="225"/>
      <c r="DB395" s="225"/>
      <c r="DC395" s="225"/>
      <c r="DD395" s="225"/>
      <c r="DE395" s="225"/>
      <c r="DF395" s="225"/>
      <c r="DG395" s="225"/>
      <c r="DH395" s="225"/>
      <c r="DI395" s="225"/>
      <c r="DJ395" s="225"/>
      <c r="DK395" s="225"/>
      <c r="DL395" s="225"/>
      <c r="DM395" s="225"/>
      <c r="DN395" s="225"/>
      <c r="DO395" s="225"/>
      <c r="DP395" s="225"/>
      <c r="DQ395" s="225"/>
    </row>
    <row r="396" spans="10:121" ht="12" customHeight="1">
      <c r="J396" s="312"/>
      <c r="K396" s="313"/>
      <c r="L396" s="313"/>
      <c r="M396" s="313"/>
      <c r="N396" s="277"/>
      <c r="O396" s="277"/>
      <c r="P396" s="277"/>
      <c r="Q396" s="277"/>
      <c r="R396" s="277"/>
      <c r="S396" s="277"/>
      <c r="T396" s="277"/>
      <c r="U396" s="277"/>
      <c r="V396" s="277"/>
      <c r="W396" s="277"/>
      <c r="X396" s="277"/>
      <c r="Y396" s="277"/>
      <c r="Z396" s="277"/>
      <c r="AA396" s="277"/>
      <c r="AB396" s="277"/>
      <c r="AC396" s="277"/>
      <c r="AD396" s="277"/>
      <c r="AE396" s="277"/>
      <c r="AF396" s="277"/>
      <c r="AG396" s="277"/>
      <c r="AH396" s="277"/>
      <c r="AI396" s="277"/>
      <c r="AJ396" s="277"/>
      <c r="AK396" s="277"/>
      <c r="AL396" s="277"/>
      <c r="AM396" s="277"/>
      <c r="AN396" s="277"/>
      <c r="AO396" s="277"/>
      <c r="AP396" s="277"/>
      <c r="AQ396" s="277"/>
      <c r="AR396" s="277"/>
      <c r="AS396" s="277"/>
      <c r="AT396" s="277"/>
      <c r="AU396" s="277"/>
      <c r="BW396" s="225"/>
      <c r="BX396" s="225"/>
      <c r="BY396" s="225"/>
      <c r="BZ396" s="225"/>
      <c r="CA396" s="225"/>
      <c r="CB396" s="225"/>
      <c r="CC396" s="225"/>
      <c r="CD396" s="225"/>
      <c r="CE396" s="225"/>
      <c r="CF396" s="225"/>
      <c r="CG396" s="225"/>
      <c r="CH396" s="225"/>
      <c r="CI396" s="225"/>
      <c r="CJ396" s="225"/>
      <c r="CK396" s="225"/>
      <c r="CL396" s="225"/>
      <c r="CM396" s="225"/>
      <c r="CN396" s="225"/>
      <c r="CO396" s="225"/>
      <c r="CP396" s="225"/>
      <c r="CQ396" s="225"/>
      <c r="CR396" s="225"/>
      <c r="CS396" s="225"/>
      <c r="CT396" s="225"/>
      <c r="CU396" s="225"/>
      <c r="CV396" s="225"/>
      <c r="CW396" s="225"/>
      <c r="CX396" s="225"/>
      <c r="CY396" s="225"/>
      <c r="CZ396" s="225"/>
      <c r="DA396" s="225"/>
      <c r="DB396" s="225"/>
      <c r="DC396" s="225"/>
      <c r="DD396" s="225"/>
      <c r="DE396" s="225"/>
      <c r="DF396" s="225"/>
      <c r="DG396" s="225"/>
      <c r="DH396" s="225"/>
      <c r="DI396" s="225"/>
      <c r="DJ396" s="225"/>
      <c r="DK396" s="225"/>
      <c r="DL396" s="225"/>
      <c r="DM396" s="225"/>
      <c r="DN396" s="225"/>
      <c r="DO396" s="225"/>
      <c r="DP396" s="225"/>
      <c r="DQ396" s="225"/>
    </row>
    <row r="397" spans="10:121" ht="12" customHeight="1">
      <c r="J397" s="312"/>
      <c r="K397" s="313"/>
      <c r="L397" s="313"/>
      <c r="M397" s="313"/>
      <c r="N397" s="277"/>
      <c r="O397" s="277"/>
      <c r="P397" s="277"/>
      <c r="Q397" s="277"/>
      <c r="R397" s="277"/>
      <c r="S397" s="277"/>
      <c r="T397" s="277"/>
      <c r="U397" s="277"/>
      <c r="V397" s="277"/>
      <c r="W397" s="277"/>
      <c r="X397" s="277"/>
      <c r="Y397" s="277"/>
      <c r="Z397" s="277"/>
      <c r="AA397" s="277"/>
      <c r="AB397" s="277"/>
      <c r="AC397" s="277"/>
      <c r="AD397" s="277"/>
      <c r="AE397" s="277"/>
      <c r="AF397" s="277"/>
      <c r="AG397" s="277"/>
      <c r="AH397" s="277"/>
      <c r="AI397" s="277"/>
      <c r="AJ397" s="277"/>
      <c r="AK397" s="277"/>
      <c r="AL397" s="277"/>
      <c r="AM397" s="277"/>
      <c r="AN397" s="277"/>
      <c r="AO397" s="277"/>
      <c r="AP397" s="277"/>
      <c r="AQ397" s="277"/>
      <c r="AR397" s="277"/>
      <c r="AS397" s="277"/>
      <c r="AT397" s="277"/>
      <c r="AU397" s="277"/>
      <c r="BW397" s="225"/>
      <c r="BX397" s="225"/>
      <c r="BY397" s="225"/>
      <c r="BZ397" s="225"/>
      <c r="CA397" s="225"/>
      <c r="CB397" s="225"/>
      <c r="CC397" s="225"/>
      <c r="CD397" s="225"/>
      <c r="CE397" s="225"/>
      <c r="CF397" s="225"/>
      <c r="CG397" s="225"/>
      <c r="CH397" s="225"/>
      <c r="CI397" s="225"/>
      <c r="CJ397" s="225"/>
      <c r="CK397" s="225"/>
      <c r="CL397" s="225"/>
      <c r="CM397" s="225"/>
      <c r="CN397" s="225"/>
      <c r="CO397" s="225"/>
      <c r="CP397" s="225"/>
      <c r="CQ397" s="225"/>
      <c r="CR397" s="225"/>
      <c r="CS397" s="225"/>
      <c r="CT397" s="225"/>
      <c r="CU397" s="225"/>
      <c r="CV397" s="225"/>
      <c r="CW397" s="225"/>
      <c r="CX397" s="225"/>
      <c r="CY397" s="225"/>
      <c r="CZ397" s="225"/>
      <c r="DA397" s="225"/>
      <c r="DB397" s="225"/>
      <c r="DC397" s="225"/>
      <c r="DD397" s="225"/>
      <c r="DE397" s="225"/>
      <c r="DF397" s="225"/>
      <c r="DG397" s="225"/>
      <c r="DH397" s="225"/>
      <c r="DI397" s="225"/>
      <c r="DJ397" s="225"/>
      <c r="DK397" s="225"/>
      <c r="DL397" s="225"/>
      <c r="DM397" s="225"/>
      <c r="DN397" s="225"/>
      <c r="DO397" s="225"/>
      <c r="DP397" s="225"/>
      <c r="DQ397" s="225"/>
    </row>
    <row r="398" spans="10:121" ht="12" customHeight="1">
      <c r="J398" s="312"/>
      <c r="K398" s="313"/>
      <c r="L398" s="313"/>
      <c r="M398" s="313"/>
      <c r="N398" s="277"/>
      <c r="O398" s="277"/>
      <c r="P398" s="277"/>
      <c r="Q398" s="277"/>
      <c r="R398" s="277"/>
      <c r="S398" s="277"/>
      <c r="T398" s="277"/>
      <c r="U398" s="277"/>
      <c r="V398" s="277"/>
      <c r="W398" s="277"/>
      <c r="X398" s="277"/>
      <c r="Y398" s="277"/>
      <c r="Z398" s="277"/>
      <c r="AA398" s="277"/>
      <c r="AB398" s="277"/>
      <c r="AC398" s="277"/>
      <c r="AD398" s="277"/>
      <c r="AE398" s="277"/>
      <c r="AF398" s="277"/>
      <c r="AG398" s="277"/>
      <c r="AH398" s="277"/>
      <c r="AI398" s="277"/>
      <c r="AJ398" s="277"/>
      <c r="AK398" s="277"/>
      <c r="AL398" s="277"/>
      <c r="AM398" s="277"/>
      <c r="AN398" s="277"/>
      <c r="AO398" s="277"/>
      <c r="AP398" s="277"/>
      <c r="AQ398" s="277"/>
      <c r="AR398" s="277"/>
      <c r="AS398" s="277"/>
      <c r="AT398" s="277"/>
      <c r="AU398" s="277"/>
      <c r="BW398" s="225"/>
      <c r="BX398" s="225"/>
      <c r="BY398" s="225"/>
      <c r="BZ398" s="225"/>
      <c r="CA398" s="225"/>
      <c r="CB398" s="225"/>
      <c r="CC398" s="225"/>
      <c r="CD398" s="225"/>
      <c r="CE398" s="225"/>
      <c r="CF398" s="225"/>
      <c r="CG398" s="225"/>
      <c r="CH398" s="225"/>
      <c r="CI398" s="225"/>
      <c r="CJ398" s="225"/>
      <c r="CK398" s="225"/>
      <c r="CL398" s="225"/>
      <c r="CM398" s="225"/>
      <c r="CN398" s="225"/>
      <c r="CO398" s="225"/>
      <c r="CP398" s="225"/>
      <c r="CQ398" s="225"/>
      <c r="CR398" s="225"/>
      <c r="CS398" s="225"/>
      <c r="CT398" s="225"/>
      <c r="CU398" s="225"/>
      <c r="CV398" s="225"/>
      <c r="CW398" s="225"/>
      <c r="CX398" s="225"/>
      <c r="CY398" s="225"/>
      <c r="CZ398" s="225"/>
      <c r="DA398" s="225"/>
      <c r="DB398" s="225"/>
      <c r="DC398" s="225"/>
      <c r="DD398" s="225"/>
      <c r="DE398" s="225"/>
      <c r="DF398" s="225"/>
      <c r="DG398" s="225"/>
      <c r="DH398" s="225"/>
      <c r="DI398" s="225"/>
      <c r="DJ398" s="225"/>
      <c r="DK398" s="225"/>
      <c r="DL398" s="225"/>
      <c r="DM398" s="225"/>
      <c r="DN398" s="225"/>
      <c r="DO398" s="225"/>
      <c r="DP398" s="225"/>
      <c r="DQ398" s="225"/>
    </row>
    <row r="399" spans="10:121" ht="12" customHeight="1">
      <c r="J399" s="312"/>
      <c r="K399" s="313"/>
      <c r="L399" s="313"/>
      <c r="M399" s="313"/>
      <c r="N399" s="277"/>
      <c r="O399" s="277"/>
      <c r="P399" s="277"/>
      <c r="Q399" s="277"/>
      <c r="R399" s="277"/>
      <c r="S399" s="277"/>
      <c r="T399" s="277"/>
      <c r="U399" s="277"/>
      <c r="V399" s="277"/>
      <c r="W399" s="277"/>
      <c r="X399" s="277"/>
      <c r="Y399" s="277"/>
      <c r="Z399" s="277"/>
      <c r="AA399" s="277"/>
      <c r="AB399" s="277"/>
      <c r="AC399" s="277"/>
      <c r="AD399" s="277"/>
      <c r="AE399" s="277"/>
      <c r="AF399" s="277"/>
      <c r="AG399" s="277"/>
      <c r="AH399" s="277"/>
      <c r="AI399" s="277"/>
      <c r="AJ399" s="277"/>
      <c r="AK399" s="277"/>
      <c r="AL399" s="277"/>
      <c r="AM399" s="277"/>
      <c r="AN399" s="277"/>
      <c r="AO399" s="277"/>
      <c r="AP399" s="277"/>
      <c r="AQ399" s="277"/>
      <c r="AR399" s="277"/>
      <c r="AS399" s="277"/>
      <c r="AT399" s="277"/>
      <c r="AU399" s="277"/>
      <c r="BW399" s="225"/>
      <c r="BX399" s="225"/>
      <c r="BY399" s="225"/>
      <c r="BZ399" s="225"/>
      <c r="CA399" s="225"/>
      <c r="CB399" s="225"/>
      <c r="CC399" s="225"/>
      <c r="CD399" s="225"/>
      <c r="CE399" s="225"/>
      <c r="CF399" s="225"/>
      <c r="CG399" s="225"/>
      <c r="CH399" s="225"/>
      <c r="CI399" s="225"/>
      <c r="CJ399" s="225"/>
      <c r="CK399" s="225"/>
      <c r="CL399" s="225"/>
      <c r="CM399" s="225"/>
      <c r="CN399" s="225"/>
      <c r="CO399" s="225"/>
      <c r="CP399" s="225"/>
      <c r="CQ399" s="225"/>
      <c r="CR399" s="225"/>
      <c r="CS399" s="225"/>
      <c r="CT399" s="225"/>
      <c r="CU399" s="225"/>
      <c r="CV399" s="225"/>
      <c r="CW399" s="225"/>
      <c r="CX399" s="225"/>
      <c r="CY399" s="225"/>
      <c r="CZ399" s="225"/>
      <c r="DA399" s="225"/>
      <c r="DB399" s="225"/>
      <c r="DC399" s="225"/>
      <c r="DD399" s="225"/>
      <c r="DE399" s="225"/>
      <c r="DF399" s="225"/>
      <c r="DG399" s="225"/>
      <c r="DH399" s="225"/>
      <c r="DI399" s="225"/>
      <c r="DJ399" s="225"/>
      <c r="DK399" s="225"/>
      <c r="DL399" s="225"/>
      <c r="DM399" s="225"/>
      <c r="DN399" s="225"/>
      <c r="DO399" s="225"/>
      <c r="DP399" s="225"/>
      <c r="DQ399" s="225"/>
    </row>
    <row r="400" spans="10:121" ht="12" customHeight="1">
      <c r="J400" s="125"/>
      <c r="K400" s="277"/>
      <c r="L400" s="277"/>
      <c r="M400" s="277"/>
      <c r="N400" s="277"/>
      <c r="O400" s="277"/>
      <c r="P400" s="277"/>
      <c r="Q400" s="277"/>
      <c r="R400" s="277"/>
      <c r="S400" s="277"/>
      <c r="T400" s="277"/>
      <c r="U400" s="277"/>
      <c r="V400" s="277"/>
      <c r="W400" s="277"/>
      <c r="X400" s="277"/>
      <c r="Y400" s="277"/>
      <c r="Z400" s="277"/>
      <c r="AA400" s="277"/>
      <c r="AB400" s="277"/>
      <c r="AC400" s="277"/>
      <c r="AD400" s="277"/>
      <c r="AE400" s="277"/>
      <c r="AF400" s="277"/>
      <c r="AG400" s="277"/>
      <c r="AH400" s="277"/>
      <c r="AI400" s="277"/>
      <c r="AJ400" s="277"/>
      <c r="AK400" s="277"/>
      <c r="AL400" s="277"/>
      <c r="AM400" s="277"/>
      <c r="AN400" s="277"/>
      <c r="AO400" s="277"/>
      <c r="AP400" s="277"/>
      <c r="AQ400" s="277"/>
      <c r="AR400" s="277"/>
      <c r="AS400" s="277"/>
      <c r="AT400" s="277"/>
      <c r="AU400" s="277"/>
      <c r="BW400" s="225"/>
      <c r="BX400" s="225"/>
      <c r="BY400" s="225"/>
      <c r="BZ400" s="225"/>
      <c r="CA400" s="225"/>
      <c r="CB400" s="225"/>
      <c r="CC400" s="225"/>
      <c r="CD400" s="225"/>
      <c r="CE400" s="225"/>
      <c r="CF400" s="225"/>
      <c r="CG400" s="225"/>
      <c r="CH400" s="225"/>
      <c r="CI400" s="225"/>
      <c r="CJ400" s="225"/>
      <c r="CK400" s="225"/>
      <c r="CL400" s="225"/>
      <c r="CM400" s="225"/>
      <c r="CN400" s="225"/>
      <c r="CO400" s="225"/>
      <c r="CP400" s="225"/>
      <c r="CQ400" s="225"/>
      <c r="CR400" s="225"/>
      <c r="CS400" s="225"/>
      <c r="CT400" s="225"/>
      <c r="CU400" s="225"/>
      <c r="CV400" s="225"/>
      <c r="CW400" s="225"/>
      <c r="CX400" s="225"/>
      <c r="CY400" s="225"/>
      <c r="CZ400" s="225"/>
      <c r="DA400" s="225"/>
      <c r="DB400" s="225"/>
      <c r="DC400" s="225"/>
      <c r="DD400" s="225"/>
      <c r="DE400" s="225"/>
      <c r="DF400" s="225"/>
      <c r="DG400" s="225"/>
      <c r="DH400" s="225"/>
      <c r="DI400" s="225"/>
      <c r="DJ400" s="225"/>
      <c r="DK400" s="225"/>
      <c r="DL400" s="225"/>
      <c r="DM400" s="225"/>
      <c r="DN400" s="225"/>
      <c r="DO400" s="225"/>
      <c r="DP400" s="225"/>
      <c r="DQ400" s="225"/>
    </row>
    <row r="401" spans="10:121" ht="12" customHeight="1">
      <c r="J401" s="277"/>
      <c r="K401" s="277"/>
      <c r="L401" s="277"/>
      <c r="M401" s="277"/>
      <c r="N401" s="277"/>
      <c r="O401" s="277"/>
      <c r="P401" s="277"/>
      <c r="Q401" s="277"/>
      <c r="R401" s="277"/>
      <c r="S401" s="277"/>
      <c r="T401" s="277"/>
      <c r="U401" s="277"/>
      <c r="V401" s="277"/>
      <c r="W401" s="277"/>
      <c r="X401" s="277"/>
      <c r="Y401" s="277"/>
      <c r="Z401" s="277"/>
      <c r="AA401" s="277"/>
      <c r="AB401" s="277"/>
      <c r="AC401" s="277"/>
      <c r="AD401" s="277"/>
      <c r="AE401" s="277"/>
      <c r="AF401" s="277"/>
      <c r="AG401" s="277"/>
      <c r="AH401" s="277"/>
      <c r="AI401" s="277"/>
      <c r="AJ401" s="277"/>
      <c r="AK401" s="277"/>
      <c r="AL401" s="277"/>
      <c r="AM401" s="277"/>
      <c r="AN401" s="277"/>
      <c r="AO401" s="277"/>
      <c r="AP401" s="277"/>
      <c r="AQ401" s="277"/>
      <c r="AR401" s="277"/>
      <c r="AS401" s="277"/>
      <c r="AT401" s="277"/>
      <c r="AU401" s="277"/>
      <c r="BW401" s="225"/>
      <c r="BX401" s="225"/>
      <c r="BY401" s="225"/>
      <c r="BZ401" s="225"/>
      <c r="CA401" s="225"/>
      <c r="CB401" s="225"/>
      <c r="CC401" s="225"/>
      <c r="CD401" s="225"/>
      <c r="CE401" s="225"/>
      <c r="CF401" s="225"/>
      <c r="CG401" s="225"/>
      <c r="CH401" s="225"/>
      <c r="CI401" s="225"/>
      <c r="CJ401" s="225"/>
      <c r="CK401" s="225"/>
      <c r="CL401" s="225"/>
      <c r="CM401" s="225"/>
      <c r="CN401" s="225"/>
      <c r="CO401" s="225"/>
      <c r="CP401" s="225"/>
      <c r="CQ401" s="225"/>
      <c r="CR401" s="225"/>
      <c r="CS401" s="225"/>
      <c r="CT401" s="225"/>
      <c r="CU401" s="225"/>
      <c r="CV401" s="225"/>
      <c r="CW401" s="225"/>
      <c r="CX401" s="225"/>
      <c r="CY401" s="225"/>
      <c r="CZ401" s="225"/>
      <c r="DA401" s="225"/>
      <c r="DB401" s="225"/>
      <c r="DC401" s="225"/>
      <c r="DD401" s="225"/>
      <c r="DE401" s="225"/>
      <c r="DF401" s="225"/>
      <c r="DG401" s="225"/>
      <c r="DH401" s="225"/>
      <c r="DI401" s="225"/>
      <c r="DJ401" s="225"/>
      <c r="DK401" s="225"/>
      <c r="DL401" s="225"/>
      <c r="DM401" s="225"/>
      <c r="DN401" s="225"/>
      <c r="DO401" s="225"/>
      <c r="DP401" s="225"/>
      <c r="DQ401" s="225"/>
    </row>
    <row r="402" spans="10:121" ht="12" customHeight="1">
      <c r="J402" s="277"/>
      <c r="K402" s="277"/>
      <c r="L402" s="277"/>
      <c r="M402" s="277"/>
      <c r="N402" s="277"/>
      <c r="O402" s="277"/>
      <c r="P402" s="277"/>
      <c r="Q402" s="277"/>
      <c r="R402" s="277"/>
      <c r="S402" s="277"/>
      <c r="T402" s="277"/>
      <c r="U402" s="277"/>
      <c r="V402" s="277"/>
      <c r="W402" s="277"/>
      <c r="X402" s="277"/>
      <c r="Y402" s="277"/>
      <c r="Z402" s="277"/>
      <c r="AA402" s="277"/>
      <c r="AB402" s="277"/>
      <c r="AC402" s="277"/>
      <c r="AD402" s="277"/>
      <c r="AE402" s="277"/>
      <c r="AF402" s="277"/>
      <c r="AG402" s="277"/>
      <c r="AH402" s="277"/>
      <c r="AI402" s="277"/>
      <c r="AJ402" s="277"/>
      <c r="AK402" s="277"/>
      <c r="AL402" s="277"/>
      <c r="AM402" s="277"/>
      <c r="AN402" s="277"/>
      <c r="AO402" s="277"/>
      <c r="AP402" s="277"/>
      <c r="AQ402" s="277"/>
      <c r="AR402" s="277"/>
      <c r="AS402" s="277"/>
      <c r="AT402" s="277"/>
      <c r="AU402" s="277"/>
      <c r="BW402" s="225"/>
      <c r="BX402" s="225"/>
      <c r="BY402" s="225"/>
      <c r="BZ402" s="225"/>
      <c r="CA402" s="225"/>
      <c r="CB402" s="225"/>
      <c r="CC402" s="225"/>
      <c r="CD402" s="225"/>
      <c r="CE402" s="225"/>
      <c r="CF402" s="225"/>
      <c r="CG402" s="225"/>
      <c r="CH402" s="225"/>
      <c r="CI402" s="225"/>
      <c r="CJ402" s="225"/>
      <c r="CK402" s="225"/>
      <c r="CL402" s="225"/>
      <c r="CM402" s="225"/>
      <c r="CN402" s="225"/>
      <c r="CO402" s="225"/>
      <c r="CP402" s="225"/>
      <c r="CQ402" s="225"/>
      <c r="CR402" s="225"/>
      <c r="CS402" s="225"/>
      <c r="CT402" s="225"/>
      <c r="CU402" s="225"/>
      <c r="CV402" s="225"/>
      <c r="CW402" s="225"/>
      <c r="CX402" s="225"/>
      <c r="CY402" s="225"/>
      <c r="CZ402" s="225"/>
      <c r="DA402" s="225"/>
      <c r="DB402" s="225"/>
      <c r="DC402" s="225"/>
      <c r="DD402" s="225"/>
      <c r="DE402" s="225"/>
      <c r="DF402" s="225"/>
      <c r="DG402" s="225"/>
      <c r="DH402" s="225"/>
      <c r="DI402" s="225"/>
      <c r="DJ402" s="225"/>
      <c r="DK402" s="225"/>
      <c r="DL402" s="225"/>
      <c r="DM402" s="225"/>
      <c r="DN402" s="225"/>
      <c r="DO402" s="225"/>
      <c r="DP402" s="225"/>
      <c r="DQ402" s="225"/>
    </row>
    <row r="403" spans="10:121" ht="12" customHeight="1">
      <c r="J403" s="312"/>
      <c r="K403" s="313"/>
      <c r="L403" s="313"/>
      <c r="M403" s="313"/>
      <c r="N403" s="277"/>
      <c r="O403" s="277"/>
      <c r="P403" s="277"/>
      <c r="Q403" s="277"/>
      <c r="R403" s="277"/>
      <c r="S403" s="277"/>
      <c r="T403" s="277"/>
      <c r="U403" s="277"/>
      <c r="V403" s="277"/>
      <c r="W403" s="277"/>
      <c r="X403" s="277"/>
      <c r="Y403" s="277"/>
      <c r="Z403" s="277"/>
      <c r="AA403" s="277"/>
      <c r="AB403" s="277"/>
      <c r="AC403" s="277"/>
      <c r="AD403" s="277"/>
      <c r="AE403" s="277"/>
      <c r="AF403" s="277"/>
      <c r="AG403" s="277"/>
      <c r="AH403" s="277"/>
      <c r="AI403" s="277"/>
      <c r="AJ403" s="277"/>
      <c r="AK403" s="277"/>
      <c r="AL403" s="277"/>
      <c r="AM403" s="277"/>
      <c r="AN403" s="277"/>
      <c r="AO403" s="277"/>
      <c r="AP403" s="277"/>
      <c r="AQ403" s="277"/>
      <c r="AR403" s="277"/>
      <c r="AS403" s="277"/>
      <c r="AT403" s="277"/>
      <c r="AU403" s="277"/>
      <c r="BW403" s="225"/>
      <c r="BX403" s="225"/>
      <c r="BY403" s="225"/>
      <c r="BZ403" s="225"/>
      <c r="CA403" s="225"/>
      <c r="CB403" s="225"/>
      <c r="CC403" s="225"/>
      <c r="CD403" s="225"/>
      <c r="CE403" s="225"/>
      <c r="CF403" s="225"/>
      <c r="CG403" s="225"/>
      <c r="CH403" s="225"/>
      <c r="CI403" s="225"/>
      <c r="CJ403" s="225"/>
      <c r="CK403" s="225"/>
      <c r="CL403" s="225"/>
      <c r="CM403" s="225"/>
      <c r="CN403" s="225"/>
      <c r="CO403" s="225"/>
      <c r="CP403" s="225"/>
      <c r="CQ403" s="225"/>
      <c r="CR403" s="225"/>
      <c r="CS403" s="225"/>
      <c r="CT403" s="225"/>
      <c r="CU403" s="225"/>
      <c r="CV403" s="225"/>
      <c r="CW403" s="225"/>
      <c r="CX403" s="225"/>
      <c r="CY403" s="225"/>
      <c r="CZ403" s="225"/>
      <c r="DA403" s="225"/>
      <c r="DB403" s="225"/>
      <c r="DC403" s="225"/>
      <c r="DD403" s="225"/>
      <c r="DE403" s="225"/>
      <c r="DF403" s="225"/>
      <c r="DG403" s="225"/>
      <c r="DH403" s="225"/>
      <c r="DI403" s="225"/>
      <c r="DJ403" s="225"/>
      <c r="DK403" s="225"/>
      <c r="DL403" s="225"/>
      <c r="DM403" s="225"/>
      <c r="DN403" s="225"/>
      <c r="DO403" s="225"/>
      <c r="DP403" s="225"/>
      <c r="DQ403" s="225"/>
    </row>
    <row r="404" spans="10:121" ht="12" customHeight="1"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  <c r="AS404" s="41"/>
      <c r="AT404" s="41"/>
      <c r="AU404" s="41"/>
      <c r="BW404" s="225"/>
      <c r="BX404" s="225"/>
      <c r="BY404" s="225"/>
      <c r="BZ404" s="225"/>
      <c r="CA404" s="225"/>
      <c r="CB404" s="225"/>
      <c r="CC404" s="225"/>
      <c r="CD404" s="225"/>
      <c r="CE404" s="225"/>
      <c r="CF404" s="225"/>
      <c r="CG404" s="225"/>
      <c r="CH404" s="225"/>
      <c r="CI404" s="225"/>
      <c r="CJ404" s="225"/>
      <c r="CK404" s="225"/>
      <c r="CL404" s="225"/>
      <c r="CM404" s="225"/>
      <c r="CN404" s="225"/>
      <c r="CO404" s="225"/>
      <c r="CP404" s="225"/>
      <c r="CQ404" s="225"/>
      <c r="CR404" s="225"/>
      <c r="CS404" s="225"/>
      <c r="CT404" s="225"/>
      <c r="CU404" s="225"/>
      <c r="CV404" s="225"/>
      <c r="CW404" s="225"/>
      <c r="CX404" s="225"/>
      <c r="CY404" s="225"/>
      <c r="CZ404" s="225"/>
      <c r="DA404" s="225"/>
      <c r="DB404" s="225"/>
      <c r="DC404" s="225"/>
      <c r="DD404" s="225"/>
      <c r="DE404" s="225"/>
      <c r="DF404" s="225"/>
      <c r="DG404" s="225"/>
      <c r="DH404" s="225"/>
      <c r="DI404" s="225"/>
      <c r="DJ404" s="225"/>
      <c r="DK404" s="225"/>
      <c r="DL404" s="225"/>
      <c r="DM404" s="225"/>
      <c r="DN404" s="225"/>
      <c r="DO404" s="225"/>
      <c r="DP404" s="225"/>
      <c r="DQ404" s="225"/>
    </row>
    <row r="405" spans="10:121" ht="12" customHeight="1">
      <c r="J405" s="195"/>
      <c r="K405" s="195"/>
      <c r="L405" s="195"/>
      <c r="M405" s="195"/>
      <c r="N405" s="195"/>
      <c r="O405" s="195"/>
      <c r="P405" s="195"/>
      <c r="Q405" s="195"/>
      <c r="R405" s="195"/>
      <c r="S405" s="195"/>
      <c r="T405" s="195"/>
      <c r="U405" s="195"/>
      <c r="V405" s="195"/>
      <c r="W405" s="195"/>
      <c r="X405" s="195"/>
      <c r="Y405" s="195"/>
      <c r="Z405" s="195"/>
      <c r="AA405" s="195"/>
      <c r="AB405" s="195"/>
      <c r="AC405" s="195"/>
      <c r="AD405" s="195"/>
      <c r="AE405" s="195"/>
      <c r="AF405" s="195"/>
      <c r="AG405" s="195"/>
      <c r="AH405" s="195"/>
      <c r="AI405" s="195"/>
      <c r="AJ405" s="195"/>
      <c r="AK405" s="195"/>
      <c r="AL405" s="195"/>
      <c r="AM405" s="195"/>
      <c r="AN405" s="195"/>
      <c r="AO405" s="195"/>
      <c r="AP405" s="195"/>
      <c r="AQ405" s="195"/>
      <c r="AR405" s="195"/>
      <c r="AS405" s="195"/>
      <c r="AT405" s="195"/>
      <c r="AU405" s="195"/>
      <c r="BW405" s="225"/>
      <c r="BX405" s="225"/>
      <c r="BY405" s="225"/>
      <c r="BZ405" s="225"/>
      <c r="CA405" s="225"/>
      <c r="CB405" s="225"/>
      <c r="CC405" s="225"/>
      <c r="CD405" s="225"/>
      <c r="CE405" s="225"/>
      <c r="CF405" s="225"/>
      <c r="CG405" s="225"/>
      <c r="CH405" s="225"/>
      <c r="CI405" s="225"/>
      <c r="CJ405" s="225"/>
      <c r="CK405" s="225"/>
      <c r="CL405" s="225"/>
      <c r="CM405" s="225"/>
      <c r="CN405" s="225"/>
      <c r="CO405" s="225"/>
      <c r="CP405" s="225"/>
      <c r="CQ405" s="225"/>
      <c r="CR405" s="225"/>
      <c r="CS405" s="225"/>
      <c r="CT405" s="225"/>
      <c r="CU405" s="225"/>
      <c r="CV405" s="225"/>
      <c r="CW405" s="225"/>
      <c r="CX405" s="225"/>
      <c r="CY405" s="225"/>
      <c r="CZ405" s="225"/>
      <c r="DA405" s="225"/>
      <c r="DB405" s="225"/>
      <c r="DC405" s="225"/>
      <c r="DD405" s="225"/>
      <c r="DE405" s="225"/>
      <c r="DF405" s="225"/>
      <c r="DG405" s="225"/>
      <c r="DH405" s="225"/>
      <c r="DI405" s="225"/>
      <c r="DJ405" s="225"/>
      <c r="DK405" s="225"/>
      <c r="DL405" s="225"/>
      <c r="DM405" s="225"/>
      <c r="DN405" s="225"/>
      <c r="DO405" s="225"/>
      <c r="DP405" s="225"/>
      <c r="DQ405" s="225"/>
    </row>
    <row r="406" spans="10:121" ht="12" customHeight="1">
      <c r="J406" s="202"/>
      <c r="K406" s="203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  <c r="AS406" s="41"/>
      <c r="AT406" s="41"/>
      <c r="AU406" s="41"/>
      <c r="BW406" s="225"/>
      <c r="BX406" s="225"/>
      <c r="BY406" s="225"/>
      <c r="BZ406" s="225"/>
      <c r="CA406" s="225"/>
      <c r="CB406" s="225"/>
      <c r="CC406" s="225"/>
      <c r="CD406" s="225"/>
      <c r="CE406" s="225"/>
      <c r="CF406" s="225"/>
      <c r="CG406" s="225"/>
      <c r="CH406" s="225"/>
      <c r="CI406" s="225"/>
      <c r="CJ406" s="225"/>
      <c r="CK406" s="225"/>
      <c r="CL406" s="225"/>
      <c r="CM406" s="225"/>
      <c r="CN406" s="225"/>
      <c r="CO406" s="225"/>
      <c r="CP406" s="225"/>
      <c r="CQ406" s="225"/>
      <c r="CR406" s="225"/>
      <c r="CS406" s="225"/>
      <c r="CT406" s="225"/>
      <c r="CU406" s="225"/>
      <c r="CV406" s="225"/>
      <c r="CW406" s="225"/>
      <c r="CX406" s="225"/>
      <c r="CY406" s="225"/>
      <c r="CZ406" s="225"/>
      <c r="DA406" s="225"/>
      <c r="DB406" s="225"/>
      <c r="DC406" s="225"/>
      <c r="DD406" s="225"/>
      <c r="DE406" s="225"/>
      <c r="DF406" s="225"/>
      <c r="DG406" s="225"/>
      <c r="DH406" s="225"/>
      <c r="DI406" s="225"/>
      <c r="DJ406" s="225"/>
      <c r="DK406" s="225"/>
      <c r="DL406" s="225"/>
      <c r="DM406" s="225"/>
      <c r="DN406" s="225"/>
      <c r="DO406" s="225"/>
      <c r="DP406" s="225"/>
      <c r="DQ406" s="225"/>
    </row>
    <row r="407" spans="10:121" ht="12" customHeight="1"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  <c r="AS407" s="41"/>
      <c r="AT407" s="41"/>
      <c r="AU407" s="41"/>
      <c r="BW407" s="225"/>
      <c r="BX407" s="225"/>
      <c r="BY407" s="225"/>
      <c r="BZ407" s="225"/>
      <c r="CA407" s="225"/>
      <c r="CB407" s="225"/>
      <c r="CC407" s="225"/>
      <c r="CD407" s="225"/>
      <c r="CE407" s="225"/>
      <c r="CF407" s="225"/>
      <c r="CG407" s="225"/>
      <c r="CH407" s="225"/>
      <c r="CI407" s="225"/>
      <c r="CJ407" s="225"/>
      <c r="CK407" s="225"/>
      <c r="CL407" s="225"/>
      <c r="CM407" s="225"/>
      <c r="CN407" s="225"/>
      <c r="CO407" s="225"/>
      <c r="CP407" s="225"/>
      <c r="CQ407" s="225"/>
      <c r="CR407" s="225"/>
      <c r="CS407" s="225"/>
      <c r="CT407" s="225"/>
      <c r="CU407" s="225"/>
      <c r="CV407" s="225"/>
      <c r="CW407" s="225"/>
      <c r="CX407" s="225"/>
      <c r="CY407" s="225"/>
      <c r="CZ407" s="225"/>
      <c r="DA407" s="225"/>
      <c r="DB407" s="225"/>
      <c r="DC407" s="225"/>
      <c r="DD407" s="225"/>
      <c r="DE407" s="225"/>
      <c r="DF407" s="225"/>
      <c r="DG407" s="225"/>
      <c r="DH407" s="225"/>
      <c r="DI407" s="225"/>
      <c r="DJ407" s="225"/>
      <c r="DK407" s="225"/>
      <c r="DL407" s="225"/>
      <c r="DM407" s="225"/>
      <c r="DN407" s="225"/>
      <c r="DO407" s="225"/>
      <c r="DP407" s="225"/>
      <c r="DQ407" s="225"/>
    </row>
    <row r="408" spans="10:121" ht="12" customHeight="1">
      <c r="J408" s="212"/>
      <c r="K408" s="212"/>
      <c r="L408" s="212"/>
      <c r="M408" s="212"/>
      <c r="N408" s="212"/>
      <c r="O408" s="212"/>
      <c r="P408" s="212"/>
      <c r="Q408" s="212"/>
      <c r="R408" s="212"/>
      <c r="S408" s="212"/>
      <c r="T408" s="212"/>
      <c r="U408" s="212"/>
      <c r="V408" s="212"/>
      <c r="W408" s="212"/>
      <c r="X408" s="212"/>
      <c r="Y408" s="212"/>
      <c r="Z408" s="212"/>
      <c r="AA408" s="212"/>
      <c r="AB408" s="212"/>
      <c r="AC408" s="212"/>
      <c r="AD408" s="212"/>
      <c r="AE408" s="212"/>
      <c r="AF408" s="212"/>
      <c r="AG408" s="212"/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BW408" s="225"/>
      <c r="BX408" s="225"/>
      <c r="BY408" s="225"/>
      <c r="BZ408" s="225"/>
      <c r="CA408" s="225"/>
      <c r="CB408" s="225"/>
      <c r="CC408" s="225"/>
      <c r="CD408" s="225"/>
      <c r="CE408" s="225"/>
      <c r="CF408" s="225"/>
      <c r="CG408" s="225"/>
      <c r="CH408" s="225"/>
      <c r="CI408" s="225"/>
      <c r="CJ408" s="225"/>
      <c r="CK408" s="225"/>
      <c r="CL408" s="225"/>
      <c r="CM408" s="225"/>
      <c r="CN408" s="225"/>
      <c r="CO408" s="225"/>
      <c r="CP408" s="225"/>
      <c r="CQ408" s="225"/>
      <c r="CR408" s="225"/>
      <c r="CS408" s="225"/>
      <c r="CT408" s="225"/>
      <c r="CU408" s="225"/>
      <c r="CV408" s="225"/>
      <c r="CW408" s="225"/>
      <c r="CX408" s="225"/>
      <c r="CY408" s="225"/>
      <c r="CZ408" s="225"/>
      <c r="DA408" s="225"/>
      <c r="DB408" s="225"/>
      <c r="DC408" s="225"/>
      <c r="DD408" s="225"/>
      <c r="DE408" s="225"/>
      <c r="DF408" s="225"/>
      <c r="DG408" s="225"/>
      <c r="DH408" s="225"/>
      <c r="DI408" s="225"/>
      <c r="DJ408" s="225"/>
      <c r="DK408" s="225"/>
      <c r="DL408" s="225"/>
      <c r="DM408" s="225"/>
      <c r="DN408" s="225"/>
      <c r="DO408" s="225"/>
      <c r="DP408" s="225"/>
      <c r="DQ408" s="225"/>
    </row>
    <row r="409" spans="10:121" ht="12" customHeight="1"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  <c r="AS409" s="41"/>
      <c r="AT409" s="41"/>
      <c r="AU409" s="41"/>
      <c r="BW409" s="225"/>
      <c r="BX409" s="225"/>
      <c r="BY409" s="225"/>
      <c r="BZ409" s="225"/>
      <c r="CA409" s="225"/>
      <c r="CB409" s="225"/>
      <c r="CC409" s="225"/>
      <c r="CD409" s="225"/>
      <c r="CE409" s="225"/>
      <c r="CF409" s="225"/>
      <c r="CG409" s="225"/>
      <c r="CH409" s="225"/>
      <c r="CI409" s="225"/>
      <c r="CJ409" s="225"/>
      <c r="CK409" s="225"/>
      <c r="CL409" s="225"/>
      <c r="CM409" s="225"/>
      <c r="CN409" s="225"/>
      <c r="CO409" s="225"/>
      <c r="CP409" s="225"/>
      <c r="CQ409" s="225"/>
      <c r="CR409" s="225"/>
      <c r="CS409" s="225"/>
      <c r="CT409" s="225"/>
      <c r="CU409" s="225"/>
      <c r="CV409" s="225"/>
      <c r="CW409" s="225"/>
      <c r="CX409" s="225"/>
      <c r="CY409" s="225"/>
      <c r="CZ409" s="225"/>
      <c r="DA409" s="225"/>
      <c r="DB409" s="225"/>
      <c r="DC409" s="225"/>
      <c r="DD409" s="225"/>
      <c r="DE409" s="225"/>
      <c r="DF409" s="225"/>
      <c r="DG409" s="225"/>
      <c r="DH409" s="225"/>
      <c r="DI409" s="225"/>
      <c r="DJ409" s="225"/>
      <c r="DK409" s="225"/>
      <c r="DL409" s="225"/>
      <c r="DM409" s="225"/>
      <c r="DN409" s="225"/>
      <c r="DO409" s="225"/>
      <c r="DP409" s="225"/>
      <c r="DQ409" s="225"/>
    </row>
    <row r="410" spans="10:121" ht="12" customHeight="1">
      <c r="J410" s="212"/>
      <c r="K410" s="212"/>
      <c r="L410" s="212"/>
      <c r="M410" s="212"/>
      <c r="N410" s="212"/>
      <c r="O410" s="212"/>
      <c r="P410" s="212"/>
      <c r="Q410" s="212"/>
      <c r="R410" s="212"/>
      <c r="S410" s="212"/>
      <c r="T410" s="212"/>
      <c r="U410" s="212"/>
      <c r="V410" s="212"/>
      <c r="W410" s="212"/>
      <c r="X410" s="212"/>
      <c r="Y410" s="212"/>
      <c r="Z410" s="212"/>
      <c r="AA410" s="212"/>
      <c r="AB410" s="212"/>
      <c r="AC410" s="212"/>
      <c r="AD410" s="212"/>
      <c r="AE410" s="212"/>
      <c r="AF410" s="212"/>
      <c r="AG410" s="212"/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BW410" s="225"/>
      <c r="BX410" s="225"/>
      <c r="BY410" s="225"/>
      <c r="BZ410" s="225"/>
      <c r="CA410" s="225"/>
      <c r="CB410" s="225"/>
      <c r="CC410" s="225"/>
      <c r="CD410" s="225"/>
      <c r="CE410" s="225"/>
      <c r="CF410" s="225"/>
      <c r="CG410" s="225"/>
      <c r="CH410" s="225"/>
      <c r="CI410" s="225"/>
      <c r="CJ410" s="225"/>
      <c r="CK410" s="225"/>
      <c r="CL410" s="225"/>
      <c r="CM410" s="225"/>
      <c r="CN410" s="225"/>
      <c r="CO410" s="225"/>
      <c r="CP410" s="225"/>
      <c r="CQ410" s="225"/>
      <c r="CR410" s="225"/>
      <c r="CS410" s="225"/>
      <c r="CT410" s="225"/>
      <c r="CU410" s="225"/>
      <c r="CV410" s="225"/>
      <c r="CW410" s="225"/>
      <c r="CX410" s="225"/>
      <c r="CY410" s="225"/>
      <c r="CZ410" s="225"/>
      <c r="DA410" s="225"/>
      <c r="DB410" s="225"/>
      <c r="DC410" s="225"/>
      <c r="DD410" s="225"/>
      <c r="DE410" s="225"/>
      <c r="DF410" s="225"/>
      <c r="DG410" s="225"/>
      <c r="DH410" s="225"/>
      <c r="DI410" s="225"/>
      <c r="DJ410" s="225"/>
      <c r="DK410" s="225"/>
      <c r="DL410" s="225"/>
      <c r="DM410" s="225"/>
      <c r="DN410" s="225"/>
      <c r="DO410" s="225"/>
      <c r="DP410" s="225"/>
      <c r="DQ410" s="225"/>
    </row>
    <row r="411" spans="10:121" ht="12" customHeight="1"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BW411" s="225"/>
      <c r="BX411" s="225"/>
      <c r="BY411" s="225"/>
      <c r="BZ411" s="225"/>
      <c r="CA411" s="225"/>
      <c r="CB411" s="225"/>
      <c r="CC411" s="225"/>
      <c r="CD411" s="225"/>
      <c r="CE411" s="225"/>
      <c r="CF411" s="225"/>
      <c r="CG411" s="225"/>
      <c r="CH411" s="225"/>
      <c r="CI411" s="225"/>
      <c r="CJ411" s="225"/>
      <c r="CK411" s="225"/>
      <c r="CL411" s="225"/>
      <c r="CM411" s="225"/>
      <c r="CN411" s="225"/>
      <c r="CO411" s="225"/>
      <c r="CP411" s="225"/>
      <c r="CQ411" s="225"/>
      <c r="CR411" s="225"/>
      <c r="CS411" s="225"/>
      <c r="CT411" s="225"/>
      <c r="CU411" s="225"/>
      <c r="CV411" s="225"/>
      <c r="CW411" s="225"/>
      <c r="CX411" s="225"/>
      <c r="CY411" s="225"/>
      <c r="CZ411" s="225"/>
      <c r="DA411" s="225"/>
      <c r="DB411" s="225"/>
      <c r="DC411" s="225"/>
      <c r="DD411" s="225"/>
      <c r="DE411" s="225"/>
      <c r="DF411" s="225"/>
      <c r="DG411" s="225"/>
      <c r="DH411" s="225"/>
      <c r="DI411" s="225"/>
      <c r="DJ411" s="225"/>
      <c r="DK411" s="225"/>
      <c r="DL411" s="225"/>
      <c r="DM411" s="225"/>
      <c r="DN411" s="225"/>
      <c r="DO411" s="225"/>
      <c r="DP411" s="225"/>
      <c r="DQ411" s="225"/>
    </row>
    <row r="412" spans="10:121" ht="12" customHeight="1">
      <c r="J412" s="95"/>
      <c r="K412" s="216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BW412" s="225"/>
      <c r="BX412" s="225"/>
      <c r="BY412" s="225"/>
      <c r="BZ412" s="225"/>
      <c r="CA412" s="225"/>
      <c r="CB412" s="225"/>
      <c r="CC412" s="225"/>
      <c r="CD412" s="225"/>
      <c r="CE412" s="225"/>
      <c r="CF412" s="225"/>
      <c r="CG412" s="225"/>
      <c r="CH412" s="225"/>
      <c r="CI412" s="225"/>
      <c r="CJ412" s="225"/>
      <c r="CK412" s="225"/>
      <c r="CL412" s="225"/>
      <c r="CM412" s="225"/>
      <c r="CN412" s="225"/>
      <c r="CO412" s="225"/>
      <c r="CP412" s="225"/>
      <c r="CQ412" s="225"/>
      <c r="CR412" s="225"/>
      <c r="CS412" s="225"/>
      <c r="CT412" s="225"/>
      <c r="CU412" s="225"/>
      <c r="CV412" s="225"/>
      <c r="CW412" s="225"/>
      <c r="CX412" s="225"/>
      <c r="CY412" s="225"/>
      <c r="CZ412" s="225"/>
      <c r="DA412" s="225"/>
      <c r="DB412" s="225"/>
      <c r="DC412" s="225"/>
      <c r="DD412" s="225"/>
      <c r="DE412" s="225"/>
      <c r="DF412" s="225"/>
      <c r="DG412" s="225"/>
      <c r="DH412" s="225"/>
      <c r="DI412" s="225"/>
      <c r="DJ412" s="225"/>
      <c r="DK412" s="225"/>
      <c r="DL412" s="225"/>
      <c r="DM412" s="225"/>
      <c r="DN412" s="225"/>
      <c r="DO412" s="225"/>
      <c r="DP412" s="225"/>
      <c r="DQ412" s="225"/>
    </row>
    <row r="413" spans="10:121" ht="12" customHeight="1">
      <c r="J413" s="221"/>
      <c r="K413" s="221"/>
      <c r="L413" s="221"/>
      <c r="M413" s="221"/>
      <c r="N413" s="221"/>
      <c r="O413" s="221"/>
      <c r="P413" s="221"/>
      <c r="Q413" s="221"/>
      <c r="R413" s="221"/>
      <c r="S413" s="221"/>
      <c r="T413" s="221"/>
      <c r="U413" s="221"/>
      <c r="V413" s="221"/>
      <c r="W413" s="221"/>
      <c r="X413" s="221"/>
      <c r="Y413" s="221"/>
      <c r="Z413" s="221"/>
      <c r="AA413" s="221"/>
      <c r="AB413" s="221"/>
      <c r="AC413" s="221"/>
      <c r="AD413" s="221"/>
      <c r="AE413" s="221"/>
      <c r="AF413" s="221"/>
      <c r="AG413" s="221"/>
      <c r="AH413" s="221"/>
      <c r="AI413" s="221"/>
      <c r="AJ413" s="221"/>
      <c r="AK413" s="221"/>
      <c r="AL413" s="221"/>
      <c r="AM413" s="221"/>
      <c r="AN413" s="221"/>
      <c r="AO413" s="221"/>
      <c r="AP413" s="221"/>
      <c r="AQ413" s="221"/>
      <c r="AR413" s="221"/>
      <c r="AS413" s="221"/>
      <c r="AT413" s="221"/>
      <c r="AU413" s="221"/>
      <c r="BW413" s="225"/>
      <c r="BX413" s="225"/>
      <c r="BY413" s="225"/>
      <c r="BZ413" s="225"/>
      <c r="CA413" s="225"/>
      <c r="CB413" s="225"/>
      <c r="CC413" s="225"/>
      <c r="CD413" s="225"/>
      <c r="CE413" s="225"/>
      <c r="CF413" s="225"/>
      <c r="CG413" s="225"/>
      <c r="CH413" s="225"/>
      <c r="CI413" s="225"/>
      <c r="CJ413" s="225"/>
      <c r="CK413" s="225"/>
      <c r="CL413" s="225"/>
      <c r="CM413" s="225"/>
      <c r="CN413" s="225"/>
      <c r="CO413" s="225"/>
      <c r="CP413" s="225"/>
      <c r="CQ413" s="225"/>
      <c r="CR413" s="225"/>
      <c r="CS413" s="225"/>
      <c r="CT413" s="225"/>
      <c r="CU413" s="225"/>
      <c r="CV413" s="225"/>
      <c r="CW413" s="225"/>
      <c r="CX413" s="225"/>
      <c r="CY413" s="225"/>
      <c r="CZ413" s="225"/>
      <c r="DA413" s="225"/>
      <c r="DB413" s="225"/>
      <c r="DC413" s="225"/>
      <c r="DD413" s="225"/>
      <c r="DE413" s="225"/>
      <c r="DF413" s="225"/>
      <c r="DG413" s="225"/>
      <c r="DH413" s="225"/>
      <c r="DI413" s="225"/>
      <c r="DJ413" s="225"/>
      <c r="DK413" s="225"/>
      <c r="DL413" s="225"/>
      <c r="DM413" s="225"/>
      <c r="DN413" s="225"/>
      <c r="DO413" s="225"/>
      <c r="DP413" s="225"/>
      <c r="DQ413" s="225"/>
    </row>
    <row r="414" spans="10:121" ht="12" customHeight="1">
      <c r="BW414" s="225"/>
      <c r="BX414" s="225"/>
      <c r="BY414" s="225"/>
      <c r="BZ414" s="225"/>
      <c r="CA414" s="225"/>
      <c r="CB414" s="225"/>
      <c r="CC414" s="225"/>
      <c r="CD414" s="225"/>
      <c r="CE414" s="225"/>
      <c r="CF414" s="225"/>
      <c r="CG414" s="225"/>
      <c r="CH414" s="225"/>
      <c r="CI414" s="225"/>
      <c r="CJ414" s="225"/>
      <c r="CK414" s="225"/>
      <c r="CL414" s="225"/>
      <c r="CM414" s="225"/>
      <c r="CN414" s="225"/>
      <c r="CO414" s="225"/>
      <c r="CP414" s="225"/>
      <c r="CQ414" s="225"/>
      <c r="CR414" s="225"/>
      <c r="CS414" s="225"/>
      <c r="CT414" s="225"/>
      <c r="CU414" s="225"/>
      <c r="CV414" s="225"/>
      <c r="CW414" s="225"/>
      <c r="CX414" s="225"/>
      <c r="CY414" s="225"/>
      <c r="CZ414" s="225"/>
      <c r="DA414" s="225"/>
      <c r="DB414" s="225"/>
      <c r="DC414" s="225"/>
      <c r="DD414" s="225"/>
      <c r="DE414" s="225"/>
      <c r="DF414" s="225"/>
      <c r="DG414" s="225"/>
      <c r="DH414" s="225"/>
      <c r="DI414" s="225"/>
      <c r="DJ414" s="225"/>
      <c r="DK414" s="225"/>
      <c r="DL414" s="225"/>
      <c r="DM414" s="225"/>
      <c r="DN414" s="225"/>
      <c r="DO414" s="225"/>
      <c r="DP414" s="225"/>
      <c r="DQ414" s="225"/>
    </row>
  </sheetData>
  <mergeCells count="7">
    <mergeCell ref="A362:G362"/>
    <mergeCell ref="A2:I2"/>
    <mergeCell ref="A3:D3"/>
    <mergeCell ref="A356:C356"/>
    <mergeCell ref="A359:G359"/>
    <mergeCell ref="A360:G360"/>
    <mergeCell ref="A361:G361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BOURACÍ PRÁCE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2021-01-25T13:06:32Z</cp:lastPrinted>
  <dcterms:created xsi:type="dcterms:W3CDTF">2020-12-16T07:15:18Z</dcterms:created>
  <dcterms:modified xsi:type="dcterms:W3CDTF">2021-01-25T13:06:39Z</dcterms:modified>
</cp:coreProperties>
</file>